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50" yWindow="45" windowWidth="13440" windowHeight="12105" activeTab="0"/>
  </bookViews>
  <sheets>
    <sheet name="лист" sheetId="1" r:id="rId1"/>
  </sheets>
  <definedNames>
    <definedName name="_xlfn.IFERROR" hidden="1">#NAME?</definedName>
    <definedName name="_xlnm.Print_Area" localSheetId="0">'лист'!$A$1:$G$378</definedName>
  </definedNames>
  <calcPr fullCalcOnLoad="1"/>
</workbook>
</file>

<file path=xl/sharedStrings.xml><?xml version="1.0" encoding="utf-8"?>
<sst xmlns="http://schemas.openxmlformats.org/spreadsheetml/2006/main" count="608" uniqueCount="445">
  <si>
    <t>7</t>
  </si>
  <si>
    <t>8</t>
  </si>
  <si>
    <t>тыс.тенге</t>
  </si>
  <si>
    <t>Наименование показателей</t>
  </si>
  <si>
    <t>Ед. изм.</t>
  </si>
  <si>
    <t>I. Количественные показатели</t>
  </si>
  <si>
    <t>ед.</t>
  </si>
  <si>
    <t>финансовые нарушения</t>
  </si>
  <si>
    <t>неэффективно использованные бюджетные средства, активы государства</t>
  </si>
  <si>
    <t>неэффективное планирование</t>
  </si>
  <si>
    <t>6.1</t>
  </si>
  <si>
    <t>7.1</t>
  </si>
  <si>
    <t>1.</t>
  </si>
  <si>
    <t xml:space="preserve">Количество проведенного государственного аудита и экспертно-аналитических мероприятий, в том числе </t>
  </si>
  <si>
    <t>по типам аудита:</t>
  </si>
  <si>
    <t>1.0.</t>
  </si>
  <si>
    <t xml:space="preserve">аудит эффективности </t>
  </si>
  <si>
    <t>1.1.</t>
  </si>
  <si>
    <t xml:space="preserve">аудит соответствия </t>
  </si>
  <si>
    <t>1.2.</t>
  </si>
  <si>
    <t xml:space="preserve">аудит финансовой отчетности </t>
  </si>
  <si>
    <t xml:space="preserve">по видам аудита: </t>
  </si>
  <si>
    <t>1.3.</t>
  </si>
  <si>
    <t>совместный</t>
  </si>
  <si>
    <t>1.4.</t>
  </si>
  <si>
    <t>параллельный</t>
  </si>
  <si>
    <t>2.</t>
  </si>
  <si>
    <t>Количество, охваченных государственным аудитом документов Системы государственного планирования в Республике Казахстан</t>
  </si>
  <si>
    <t>3.</t>
  </si>
  <si>
    <t xml:space="preserve">Количество объектов государственного аудита и финансового контроля, охваченных государственным аудитом, в том числе: 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</si>
  <si>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</si>
  <si>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</si>
  <si>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</si>
  <si>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</si>
  <si>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</si>
  <si>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</si>
  <si>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</si>
  <si>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</si>
  <si>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</si>
  <si>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</si>
  <si>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</si>
  <si>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</si>
  <si>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</si>
  <si>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</si>
  <si>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>3.3.</t>
  </si>
  <si>
    <t xml:space="preserve">объекты встречного государственного аудита и финансового контроля </t>
  </si>
  <si>
    <t>3.3.1</t>
  </si>
  <si>
    <t>3.3.2</t>
  </si>
  <si>
    <t>4.</t>
  </si>
  <si>
    <t xml:space="preserve">Всего объем средств государственного бюджета, охваченных государственным аудитом, из них: </t>
  </si>
  <si>
    <t>тыс. тенге</t>
  </si>
  <si>
    <t>по уровням бюджета:</t>
  </si>
  <si>
    <t>4.0.</t>
  </si>
  <si>
    <t>местный бюджет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</si>
  <si>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</si>
  <si>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</si>
  <si>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</si>
  <si>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</si>
  <si>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</si>
  <si>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</si>
  <si>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</si>
  <si>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</si>
  <si>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</si>
  <si>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</si>
  <si>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</si>
  <si>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</si>
  <si>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на соответствие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</si>
  <si>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</si>
  <si>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</si>
  <si>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</si>
  <si>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</si>
  <si>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</si>
  <si>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</si>
  <si>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</si>
  <si>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</si>
  <si>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</si>
  <si>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</si>
  <si>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</si>
  <si>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</si>
  <si>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</si>
  <si>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</si>
  <si>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</si>
  <si>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</si>
  <si>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РК, а также актов субъектов квазигосударственного сектора, в том числе</t>
  </si>
  <si>
    <t>5.1.</t>
  </si>
  <si>
    <t>5.2.</t>
  </si>
  <si>
    <t>нарушения актов субъектов квазигосударственного сектора, принятых для реализации норм законодательства РК</t>
  </si>
  <si>
    <t>5.3.</t>
  </si>
  <si>
    <t>5.4.</t>
  </si>
  <si>
    <t>по уровням бюджета (всего нарушений):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</si>
  <si>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</si>
  <si>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</si>
  <si>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</si>
  <si>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</si>
  <si>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 xml:space="preserve">при  использовании  бюджетных средств </t>
  </si>
  <si>
    <t>5.8.</t>
  </si>
  <si>
    <t>при использовании активов</t>
  </si>
  <si>
    <t>5.9.</t>
  </si>
  <si>
    <t>при  ведении  бухгалтерского учета  и  составления финансовой отчетности</t>
  </si>
  <si>
    <t>5.10.</t>
  </si>
  <si>
    <t xml:space="preserve">прямые (косвенные) потери бюджета </t>
  </si>
  <si>
    <t>по типам аудита (всего нарушений):</t>
  </si>
  <si>
    <t>по источникам финансирования  (финансовые нарушения):</t>
  </si>
  <si>
    <t>по бюджетным кредитам</t>
  </si>
  <si>
    <t>по целевым трансфертам на развитие</t>
  </si>
  <si>
    <t>по целевым текущим трансфертам</t>
  </si>
  <si>
    <t>cумма использованных бюджетных средств не по целевому назначению</t>
  </si>
  <si>
    <t>6.</t>
  </si>
  <si>
    <t xml:space="preserve">Нарушения порядка выполнения процедур </t>
  </si>
  <si>
    <t>при использовании бюджетных средств, предоставления бюджетных кредитов, государственных гарантий, поручительств, займов</t>
  </si>
  <si>
    <t>6.2</t>
  </si>
  <si>
    <t>6.3</t>
  </si>
  <si>
    <t>в сфере государственных закупок</t>
  </si>
  <si>
    <t>6.4</t>
  </si>
  <si>
    <t>при поступлении средств в бюджет</t>
  </si>
  <si>
    <t>6.5</t>
  </si>
  <si>
    <t xml:space="preserve">в сфере бухгалтерского учета и финансовой отчетности </t>
  </si>
  <si>
    <t>7.</t>
  </si>
  <si>
    <t>Сумма нарушений актов субъектов квазигосударственного сектора, принятых для реализации норм законодательства Республики Казахстан</t>
  </si>
  <si>
    <t>Системные нарушения</t>
  </si>
  <si>
    <t>Всего сумма, подлежащая восстановлению и возмещению, из них</t>
  </si>
  <si>
    <t>8.0.1.</t>
  </si>
  <si>
    <t>сумма, по которым сроки восстановления и возмещения наступили</t>
  </si>
  <si>
    <t>8.0.2.</t>
  </si>
  <si>
    <t>сумма, по которым сроки восстановления и возмещения не наступили</t>
  </si>
  <si>
    <t>8.0.3.</t>
  </si>
  <si>
    <t>сумма восстановленных и возмещенных средств, сроки восстановления и возмещения которых наступили</t>
  </si>
  <si>
    <t>8.0.4.</t>
  </si>
  <si>
    <t>сумма всего восстановленных и возмещенных средств</t>
  </si>
  <si>
    <t>8.0.5.</t>
  </si>
  <si>
    <t>сумма восстановленных и возмещенных средств, сроки восстановления и возмещения которых не наступили</t>
  </si>
  <si>
    <t>8.0.6.</t>
  </si>
  <si>
    <t>сумма не восстановленных и не возмещенных средств, сроки восстановления и возмещения которых наступили</t>
  </si>
  <si>
    <t>8.1.</t>
  </si>
  <si>
    <t>Сумма, подлежащая возмещению</t>
  </si>
  <si>
    <t>8.1.1.</t>
  </si>
  <si>
    <t>сумма, по которым сроки возмещения наступили</t>
  </si>
  <si>
    <t>8.1.2.</t>
  </si>
  <si>
    <t>сумма, по которым сроки возмещения не наступили</t>
  </si>
  <si>
    <t>8.1.3.</t>
  </si>
  <si>
    <t>сумма возмещенных средств, сроки возмещения которых наступили</t>
  </si>
  <si>
    <t>8.1.4.</t>
  </si>
  <si>
    <t>сумма всего возмещенных средств</t>
  </si>
  <si>
    <t>8.1.5.</t>
  </si>
  <si>
    <t>сумма возмещенных средств, сроки возмещения которых не наступили</t>
  </si>
  <si>
    <t>8.1.6.</t>
  </si>
  <si>
    <t>сумма не возмещенных средств, сроки возмещения которых наступили</t>
  </si>
  <si>
    <t>8.2.</t>
  </si>
  <si>
    <t>Сумма, подлежащая восстановлению</t>
  </si>
  <si>
    <t>8.2.1.</t>
  </si>
  <si>
    <t>сумма, по которым сроки восстановления наступили</t>
  </si>
  <si>
    <t>8.2.2.</t>
  </si>
  <si>
    <t>сумма, по которым сроки восстановления не наступили</t>
  </si>
  <si>
    <t>8.2.3.</t>
  </si>
  <si>
    <t>сумма восстановленных средств, сроки восстановления которых наступили</t>
  </si>
  <si>
    <t>8.2.4.</t>
  </si>
  <si>
    <t>сумма всего восстановленных средств</t>
  </si>
  <si>
    <t>8.2.5.</t>
  </si>
  <si>
    <t>сумма восстановленных средств, сроки восстановления которых не наступили</t>
  </si>
  <si>
    <t>8.2.6.</t>
  </si>
  <si>
    <t>сумма не восстановленных средств, сроки восстановления которых наступили</t>
  </si>
  <si>
    <t>8.3.</t>
  </si>
  <si>
    <r>
      <t xml:space="preserve">Фактическая сумма, восстановленных и возмещенных средств </t>
    </r>
    <r>
      <rPr>
        <sz val="14"/>
        <rFont val="Times New Roman"/>
        <family val="1"/>
      </rPr>
      <t>(в ходе и после аудита)</t>
    </r>
    <r>
      <rPr>
        <sz val="16"/>
        <rFont val="Times New Roman"/>
        <family val="1"/>
      </rPr>
      <t>, из них</t>
    </r>
  </si>
  <si>
    <t>8.3.1.</t>
  </si>
  <si>
    <t>возмещено, в том числе</t>
  </si>
  <si>
    <t>8.3.1.1.</t>
  </si>
  <si>
    <t>возмещено средств в денежной форме в государственный бюджет</t>
  </si>
  <si>
    <t>возмещено средств  в бюджет организации (АО, ТОО, РГП и др.)</t>
  </si>
  <si>
    <t>8.3.2.</t>
  </si>
  <si>
    <t>восстановлено, в том числе</t>
  </si>
  <si>
    <t>8.3.2.1.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</si>
  <si>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</si>
  <si>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8.3.2.2.</t>
  </si>
  <si>
    <t>восстановлено по учету (приведением документов в соответствие)</t>
  </si>
  <si>
    <t>8.4.</t>
  </si>
  <si>
    <t>Остаток суммы, подлежащий возмещению и восстановлению</t>
  </si>
  <si>
    <t>8.5.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</si>
  <si>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</si>
  <si>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8.6.</t>
  </si>
  <si>
    <t>Не восстановленные и не возмещенные суммы, предъявленные к восстановлению и возмещению за прошлые года</t>
  </si>
  <si>
    <t>8.7.</t>
  </si>
  <si>
    <t>Фактическая сумма, восстановленных возмещенных средств, из суммы, предъявленной к восстановлению и возмещению в течении предыдущих периодов</t>
  </si>
  <si>
    <t>9.</t>
  </si>
  <si>
    <t xml:space="preserve">Количество рекомендаций (предложений) и поручений, принятых по итогам государственного аудита и экспертно-аналитических мероприятий, из них </t>
  </si>
  <si>
    <t>9.0.1.</t>
  </si>
  <si>
    <t>количество рекомендаций (предложений) и поручений, сроки исполнения которых наступили</t>
  </si>
  <si>
    <t>9.0.2.</t>
  </si>
  <si>
    <t>количество рекомендаций (предложений) и поручений, сроки исполнения которых не наступили</t>
  </si>
  <si>
    <t>9.0.3.</t>
  </si>
  <si>
    <t xml:space="preserve">количество исполненных рекомендаций (предложений) и поручений, сроки исполнения которых наступили </t>
  </si>
  <si>
    <t>9.0.4.</t>
  </si>
  <si>
    <t>количество всего исполненных рекомендаций (предложений) и поручений</t>
  </si>
  <si>
    <t>9.0.5.</t>
  </si>
  <si>
    <t xml:space="preserve">количество исполненных рекомендаций (предложений) и поручений, сроки исполнения которых не наступили </t>
  </si>
  <si>
    <t>9.0.6.</t>
  </si>
  <si>
    <t xml:space="preserve">количество неисполненных рекомендаций и поручений, сроки исполнения которых наступили </t>
  </si>
  <si>
    <t>9.1</t>
  </si>
  <si>
    <t xml:space="preserve">Количество рекомендаций (предложений), принятых по итогам аудиторских и экспертно-аналитических мероприятий, из них </t>
  </si>
  <si>
    <t>9.1.1.</t>
  </si>
  <si>
    <t>количество рекомендаций (предложений), сроки исполнения которых наступили</t>
  </si>
  <si>
    <t>9.1.2.</t>
  </si>
  <si>
    <t>количество рекомендаций (предложений), сроки исполнения которых не наступили</t>
  </si>
  <si>
    <t>9.1.3.</t>
  </si>
  <si>
    <t xml:space="preserve">количество исполненных рекомендаций, сроки исполнения которых наступили </t>
  </si>
  <si>
    <t>9.1.4.</t>
  </si>
  <si>
    <t xml:space="preserve">количество всего исполненных рекомендаций (предложений) </t>
  </si>
  <si>
    <t>9.1.5.</t>
  </si>
  <si>
    <t xml:space="preserve">количество исполненных рекомендаций, сроки исполнения которых не наступили </t>
  </si>
  <si>
    <t>9.1.6.</t>
  </si>
  <si>
    <t xml:space="preserve">количество неисполненных рекомендаций, сроки исполнения которых наступили </t>
  </si>
  <si>
    <t>9.2</t>
  </si>
  <si>
    <t xml:space="preserve">Количество поручений, принятых по итогам аудиторских и экспертно-аналитических мероприятий, из них </t>
  </si>
  <si>
    <t>9.2.1.</t>
  </si>
  <si>
    <t>количество поручений, сроки исполнения которых наступили</t>
  </si>
  <si>
    <t>9.2.2.</t>
  </si>
  <si>
    <t>количество поручений, сроки исполнения которых не наступили</t>
  </si>
  <si>
    <t>9.2.3.</t>
  </si>
  <si>
    <t xml:space="preserve">количество исполненных поручений, сроки исполнения которых наступили </t>
  </si>
  <si>
    <t>9.2.4.</t>
  </si>
  <si>
    <t>количество всего исполненных поручений</t>
  </si>
  <si>
    <t>9.2.5.</t>
  </si>
  <si>
    <t xml:space="preserve">количество исполненных поручений, сроки исполнения которых не наступили </t>
  </si>
  <si>
    <t>9.2.6.</t>
  </si>
  <si>
    <t xml:space="preserve">количество неисполненных поручений, сроки исполнения которых наступили </t>
  </si>
  <si>
    <t>10.</t>
  </si>
  <si>
    <t>Количество переданных в правоохранительные органы материалов государственного аудита по выявленным правонарушениям при проведении внешнего государственного аудита и финансового контроля</t>
  </si>
  <si>
    <t>10.1.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</si>
  <si>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</si>
  <si>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10.2.</t>
  </si>
  <si>
    <t xml:space="preserve">количество материалов, по которым прекращено досудебное расследование/производство </t>
  </si>
  <si>
    <t>10.3.</t>
  </si>
  <si>
    <t xml:space="preserve">количество материалов, которые направлены на рассмотрение в суд </t>
  </si>
  <si>
    <t>10.4.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</si>
  <si>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</si>
  <si>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10.5.</t>
  </si>
  <si>
    <t>количество материалов, которые судом или правоохранительным органом оставлены без рассмотрения</t>
  </si>
  <si>
    <t>10.6.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</si>
  <si>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</si>
  <si>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10.7.</t>
  </si>
  <si>
    <t>иные решения, принятые правоохранительными органами</t>
  </si>
  <si>
    <t>11.</t>
  </si>
  <si>
    <t xml:space="preserve">Количество составленных и направленных на рассмотрение в суд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 </t>
  </si>
  <si>
    <t>11.0.1</t>
  </si>
  <si>
    <t xml:space="preserve">количество протоколов об административных правонарушениях, наложенных судом или уполномоченным органом </t>
  </si>
  <si>
    <t>11.0.2</t>
  </si>
  <si>
    <t>количество протоколов об административных правонарушениях, отказанных в наложении судом или уполномоченным органом</t>
  </si>
  <si>
    <t>11.0.3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</si>
  <si>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</si>
  <si>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11.0.4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</si>
  <si>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</si>
  <si>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11.1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</si>
  <si>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</si>
  <si>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11.1.1.</t>
  </si>
  <si>
    <t>количество протоколов об административных правонарушениях, наложенных судом</t>
  </si>
  <si>
    <t>11.1.2.</t>
  </si>
  <si>
    <t xml:space="preserve">количество протоколов об административных правонарушениях, отказанных в наложении судом </t>
  </si>
  <si>
    <t>11.1.3.</t>
  </si>
  <si>
    <t>количество протоколов об административных правонарушениях, находящихся на рассмотрении в судах</t>
  </si>
  <si>
    <t>11.1.4.</t>
  </si>
  <si>
    <t>по решению суда всего наложено штрафов по составленным и направленным на рассмотрение в суд протоколам</t>
  </si>
  <si>
    <t>11.2</t>
  </si>
  <si>
    <t xml:space="preserve">Количество переданных материалов в уполномоченные органы для составления протоколов об административных правонарушениях </t>
  </si>
  <si>
    <t>11.2.1</t>
  </si>
  <si>
    <t xml:space="preserve">количество протоколов об административных правонарушениях, наложенных уполномоченным органом </t>
  </si>
  <si>
    <t>11.2.2</t>
  </si>
  <si>
    <t>количество протоколов об административных правонарушениях, отказанных в наложении уполномоченным органом</t>
  </si>
  <si>
    <t>11.2.3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</si>
  <si>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</si>
  <si>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11.2.4</t>
  </si>
  <si>
    <t>по решению уполномоченного органа (и/или суда) всего наложено штрафов по переданным материалам в уполномоченные органы</t>
  </si>
  <si>
    <t>12.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</si>
  <si>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</si>
  <si>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13.</t>
  </si>
  <si>
    <t xml:space="preserve">Количество, привлеченных к ответственности лиц, в том числе: </t>
  </si>
  <si>
    <t>13.1.</t>
  </si>
  <si>
    <t>уголовной</t>
  </si>
  <si>
    <t>13.2.</t>
  </si>
  <si>
    <t xml:space="preserve">административной </t>
  </si>
  <si>
    <t>13.3.</t>
  </si>
  <si>
    <t xml:space="preserve">дисциплинарной </t>
  </si>
  <si>
    <t>14.</t>
  </si>
  <si>
    <t>Штатная численность работников ревизионной комиссии, из них</t>
  </si>
  <si>
    <t>чел.</t>
  </si>
  <si>
    <t>14.1.</t>
  </si>
  <si>
    <t>аудиторы</t>
  </si>
  <si>
    <t>15.</t>
  </si>
  <si>
    <t>Всего выделено бюджетных средств на содержание ревизионной комиссии, из них</t>
  </si>
  <si>
    <t>15.1.</t>
  </si>
  <si>
    <t>освоено</t>
  </si>
  <si>
    <t>15.2.</t>
  </si>
  <si>
    <t>не освоено</t>
  </si>
  <si>
    <t>за 6 месяцев 2022 года</t>
  </si>
  <si>
    <t>за 6 месяцев 2021 года</t>
  </si>
  <si>
    <t>Ревизионной комиссии по городу Астана</t>
  </si>
  <si>
    <t>Основные показатели работы</t>
  </si>
  <si>
    <t>за 9 месяцев 2022 года</t>
  </si>
  <si>
    <t xml:space="preserve"> №
 </t>
  </si>
  <si>
    <t xml:space="preserve"> +/-</t>
  </si>
  <si>
    <t>%</t>
  </si>
  <si>
    <t xml:space="preserve">  </t>
  </si>
  <si>
    <t>5.5</t>
  </si>
  <si>
    <t>по  поступлениям в бюджет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</si>
  <si>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</si>
  <si>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</si>
  <si>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</si>
  <si>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</si>
  <si>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</si>
  <si>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</si>
  <si>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</si>
  <si>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</si>
  <si>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</si>
  <si>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</si>
  <si>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Выберите наименование из списка</t>
  </si>
  <si>
    <t>Ревизионной комисии по __________ области, города республиканского значения, столицы</t>
  </si>
  <si>
    <t>за 1 квартал 2013 года</t>
  </si>
  <si>
    <t>Ревизионная комиссия по Акмолинской области</t>
  </si>
  <si>
    <t>Ревизионной комиссии по Акмолинской области</t>
  </si>
  <si>
    <t>за 2 квартал 2013 года</t>
  </si>
  <si>
    <t>Ревизионная комиссия по Актюбинской области</t>
  </si>
  <si>
    <t>Ревизионной комиссии по Актюбинской области</t>
  </si>
  <si>
    <t>за 3 квартал 2013 года</t>
  </si>
  <si>
    <t>Ревизионная комиссия по Алматинской области</t>
  </si>
  <si>
    <t>Ревизионной комиссии по Алматинской области</t>
  </si>
  <si>
    <t>за 4 квартал 2013 года</t>
  </si>
  <si>
    <t>Ревизионная комиссия по Атырауской области</t>
  </si>
  <si>
    <t>Ревизионной комиссии по Атырауской области</t>
  </si>
  <si>
    <t>за 4 месяца 2013 года</t>
  </si>
  <si>
    <t>Ревизионная комиссия по Восточно-Казахстанской области</t>
  </si>
  <si>
    <t>Ревизионной комиссии по Восточно-Казахстанской области</t>
  </si>
  <si>
    <t>за 5 месяцев 2013 года</t>
  </si>
  <si>
    <t>Ревизионная комиссия по Жамбылской области</t>
  </si>
  <si>
    <t>Ревизионной комиссии по Жамбылской области</t>
  </si>
  <si>
    <t>за 1-полугодие 2013 года</t>
  </si>
  <si>
    <t>Ревизионная комиссия по Западно-Казахстанской области</t>
  </si>
  <si>
    <t>Ревизионной комиссии по Западно-Казахстанской области</t>
  </si>
  <si>
    <t>за 7 месяцев 2013 года</t>
  </si>
  <si>
    <t>Ревизионная комиссия по Карагандинской области</t>
  </si>
  <si>
    <t>Ревизионной комиссии по Карагандинской области</t>
  </si>
  <si>
    <t>за 8 месяцев 2013 года</t>
  </si>
  <si>
    <t>Ревизионная комиссия по Костанайской области</t>
  </si>
  <si>
    <t>Ревизионной комиссии по Костанайской области</t>
  </si>
  <si>
    <t>за 9 месяцев 2013 года</t>
  </si>
  <si>
    <t>Ревизионная комиссия по Кызылординской области</t>
  </si>
  <si>
    <t>Ревизионной комиссии по Кызылординской области</t>
  </si>
  <si>
    <t>за 10 месяцев 2013 года</t>
  </si>
  <si>
    <t>Ревизионная комиссия по Мангистауской области</t>
  </si>
  <si>
    <t>Ревизионной комиссии по Мангистауской области</t>
  </si>
  <si>
    <t>за 11 месяцев 2013 года</t>
  </si>
  <si>
    <t>Ревизионная комиссия по Павлодарской области</t>
  </si>
  <si>
    <t>Ревизионной комиссии по Павлодарской области</t>
  </si>
  <si>
    <t>за 12 месяцев 2013 года</t>
  </si>
  <si>
    <t>Ревизионная комиссия по Северо-Казахстанской области</t>
  </si>
  <si>
    <t>Ревизионной комиссии по Северо-Казахстанской области</t>
  </si>
  <si>
    <t>за 1 квартал 2014 года</t>
  </si>
  <si>
    <t>Ревизионная комиссия по Туркестанской области</t>
  </si>
  <si>
    <t>Ревизионной комиссии по Туркестанской области</t>
  </si>
  <si>
    <t>за 2 квартал 2014 года</t>
  </si>
  <si>
    <t>Ревизионная комиссия по городу Алматы</t>
  </si>
  <si>
    <t>Ревизионной комиссии по городу Алматы</t>
  </si>
  <si>
    <t>за 3 квартал 2014 года</t>
  </si>
  <si>
    <t>Ревизионная комиссия по городу Астана</t>
  </si>
  <si>
    <t>за 4 квартал 2014 года</t>
  </si>
  <si>
    <t>Ревизионная комиссия по городу Шымкент</t>
  </si>
  <si>
    <t>Ревизионной комиссии по городу Шымкент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</si>
  <si>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</si>
  <si>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</si>
  <si>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</si>
  <si>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</si>
  <si>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</si>
  <si>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</si>
  <si>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</si>
  <si>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</si>
  <si>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</si>
  <si>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201_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</si>
  <si>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</si>
  <si>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</si>
  <si>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</si>
  <si>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</si>
  <si>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</si>
  <si>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</si>
  <si>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</si>
  <si>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</si>
  <si>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</si>
  <si>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</si>
  <si>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</si>
  <si>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</si>
  <si>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</si>
  <si>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</si>
  <si>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</si>
  <si>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</si>
  <si>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</si>
  <si>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</si>
  <si>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</si>
  <si>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</si>
  <si>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</si>
  <si>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</si>
  <si>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</si>
  <si>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</si>
  <si>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</si>
  <si>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</si>
  <si>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</si>
  <si>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</si>
  <si>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</si>
  <si>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</si>
  <si>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</si>
  <si>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</si>
  <si>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</si>
  <si>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</si>
  <si>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</si>
  <si>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</si>
  <si>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</si>
  <si>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</si>
  <si>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</si>
  <si>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</si>
  <si>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</si>
  <si>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</si>
  <si>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</si>
  <si>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</si>
  <si>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</si>
  <si>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</si>
  <si>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</si>
  <si>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</si>
  <si>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</si>
  <si>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</si>
  <si>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</si>
  <si>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</si>
  <si>
    <t>за 1 квартал 2019 года</t>
  </si>
  <si>
    <t>за 2 квартал 2019 года</t>
  </si>
  <si>
    <t>за 3 квартал 2019 года</t>
  </si>
  <si>
    <t>за 4 квартал 2019 года</t>
  </si>
  <si>
    <t>за 4 месяца 2019 года</t>
  </si>
  <si>
    <t>за 5 месяцев 2019 года</t>
  </si>
  <si>
    <t>за 6 месяцев 2019 года</t>
  </si>
  <si>
    <t>за 7 месяцев 2019 года</t>
  </si>
  <si>
    <t>за 8 месяцев 2019 года</t>
  </si>
  <si>
    <t>за 9 месяцев 2019 года</t>
  </si>
  <si>
    <t>за 10 месяцев 2019 года</t>
  </si>
  <si>
    <t>за 11 месяцев 2019 года</t>
  </si>
  <si>
    <t>за 12 месяцев 2019 года</t>
  </si>
  <si>
    <t>за 1 квартал 2020 года</t>
  </si>
  <si>
    <t>за 6 месяцев 2020 года</t>
  </si>
  <si>
    <t>за 4 квартал 2020 года</t>
  </si>
  <si>
    <t>за 1 квартал 2021 года</t>
  </si>
  <si>
    <t>за 9 месяцев 2021 года</t>
  </si>
  <si>
    <t>млн. тенге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</si>
</sst>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0___;"/>
    <numFmt numFmtId="173" formatCode="000;"/>
    <numFmt numFmtId="174" formatCode="000"/>
    <numFmt numFmtId="175" formatCode="###,##0.0___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0.000000"/>
    <numFmt numFmtId="183" formatCode="0.0000000"/>
    <numFmt numFmtId="184" formatCode="0.00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000"/>
    <numFmt numFmtId="191" formatCode="0.000000000"/>
    <numFmt numFmtId="192" formatCode="0.0%"/>
    <numFmt numFmtId="193" formatCode="_-* #,##0.0_р_._-;\-* #,##0.0_р_._-;_-* &quot;-&quot;??_р_._-;_-@_-"/>
    <numFmt numFmtId="194" formatCode="#,##0.0_ ;[Red]\-#,##0.0\ "/>
    <numFmt numFmtId="195" formatCode="#,##0_ ;[Red]\-#,##0\ "/>
    <numFmt numFmtId="196" formatCode="#,##0.000"/>
    <numFmt numFmtId="197" formatCode="#,##0.00000"/>
    <numFmt numFmtId="198" formatCode="[$-FC19]d\ mmmm\ yyyy\ &quot;г.&quot;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1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22"/>
      <name val="Times New Roman"/>
      <family val="1"/>
    </font>
    <font>
      <sz val="16"/>
      <color indexed="22"/>
      <name val="Times New Roman"/>
      <family val="1"/>
    </font>
    <font>
      <sz val="16"/>
      <color indexed="55"/>
      <name val="Times New Roman"/>
      <family val="1"/>
    </font>
    <font>
      <sz val="11"/>
      <color indexed="55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i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Calibri"/>
      <family val="2"/>
    </font>
    <font>
      <sz val="12"/>
      <color indexed="22"/>
      <name val="Times New Roman"/>
      <family val="1"/>
    </font>
    <font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sz val="16"/>
      <color theme="0" tint="-0.3499799966812134"/>
      <name val="Times New Roman"/>
      <family val="1"/>
    </font>
    <font>
      <sz val="16"/>
      <color theme="0" tint="-0.24997000396251678"/>
      <name val="Times New Roman"/>
      <family val="1"/>
    </font>
    <font>
      <sz val="11"/>
      <color theme="0" tint="-0.24997000396251678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6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0" tint="-0.1499900072813034"/>
      <name val="Times New Roman"/>
      <family val="1"/>
    </font>
    <font>
      <sz val="14"/>
      <color theme="0" tint="-0.14999000728130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Fill="1" applyAlignment="1">
      <alignment/>
    </xf>
    <xf numFmtId="180" fontId="6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43" applyFont="1" applyFill="1" applyAlignment="1" applyProtection="1">
      <alignment horizontal="center" vertical="center"/>
      <protection/>
    </xf>
    <xf numFmtId="0" fontId="69" fillId="0" borderId="0" xfId="0" applyFont="1" applyFill="1" applyAlignment="1">
      <alignment/>
    </xf>
    <xf numFmtId="49" fontId="6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180" fontId="69" fillId="0" borderId="10" xfId="0" applyNumberFormat="1" applyFont="1" applyFill="1" applyBorder="1" applyAlignment="1">
      <alignment horizontal="center" vertical="center" wrapText="1"/>
    </xf>
    <xf numFmtId="192" fontId="69" fillId="0" borderId="0" xfId="62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3" fillId="0" borderId="0" xfId="0" applyFont="1" applyFill="1" applyAlignment="1">
      <alignment/>
    </xf>
    <xf numFmtId="49" fontId="73" fillId="0" borderId="0" xfId="0" applyNumberFormat="1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180" fontId="73" fillId="0" borderId="0" xfId="0" applyNumberFormat="1" applyFont="1" applyFill="1" applyAlignment="1">
      <alignment horizontal="center" vertical="center"/>
    </xf>
    <xf numFmtId="192" fontId="73" fillId="0" borderId="0" xfId="62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49" fontId="7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180" fontId="75" fillId="0" borderId="11" xfId="0" applyNumberFormat="1" applyFont="1" applyFill="1" applyBorder="1" applyAlignment="1" applyProtection="1">
      <alignment horizontal="center" vertical="center" wrapText="1"/>
      <protection hidden="1"/>
    </xf>
    <xf numFmtId="180" fontId="75" fillId="0" borderId="11" xfId="0" applyNumberFormat="1" applyFont="1" applyFill="1" applyBorder="1" applyAlignment="1">
      <alignment horizontal="center" vertical="center" wrapText="1"/>
    </xf>
    <xf numFmtId="192" fontId="75" fillId="0" borderId="11" xfId="62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/>
    </xf>
    <xf numFmtId="3" fontId="69" fillId="0" borderId="11" xfId="0" applyNumberFormat="1" applyFont="1" applyFill="1" applyBorder="1" applyAlignment="1">
      <alignment horizontal="center" vertical="center"/>
    </xf>
    <xf numFmtId="1" fontId="69" fillId="0" borderId="11" xfId="0" applyNumberFormat="1" applyFont="1" applyFill="1" applyBorder="1" applyAlignment="1">
      <alignment horizontal="center" vertical="center"/>
    </xf>
    <xf numFmtId="49" fontId="75" fillId="0" borderId="12" xfId="0" applyNumberFormat="1" applyFont="1" applyFill="1" applyBorder="1" applyAlignment="1">
      <alignment vertical="top"/>
    </xf>
    <xf numFmtId="49" fontId="75" fillId="0" borderId="13" xfId="0" applyNumberFormat="1" applyFont="1" applyFill="1" applyBorder="1" applyAlignment="1">
      <alignment horizontal="center" vertical="top"/>
    </xf>
    <xf numFmtId="180" fontId="75" fillId="0" borderId="13" xfId="0" applyNumberFormat="1" applyFont="1" applyFill="1" applyBorder="1" applyAlignment="1">
      <alignment horizontal="center" vertical="top"/>
    </xf>
    <xf numFmtId="192" fontId="75" fillId="0" borderId="13" xfId="62" applyNumberFormat="1" applyFont="1" applyFill="1" applyBorder="1" applyAlignment="1">
      <alignment horizontal="center" vertical="center"/>
    </xf>
    <xf numFmtId="49" fontId="75" fillId="0" borderId="11" xfId="55" applyNumberFormat="1" applyFont="1" applyFill="1" applyBorder="1" applyAlignment="1">
      <alignment horizontal="center" vertical="center"/>
      <protection/>
    </xf>
    <xf numFmtId="0" fontId="8" fillId="0" borderId="14" xfId="57" applyNumberFormat="1" applyFont="1" applyFill="1" applyBorder="1" applyAlignment="1">
      <alignment vertical="center" wrapText="1"/>
      <protection/>
    </xf>
    <xf numFmtId="0" fontId="75" fillId="0" borderId="14" xfId="55" applyNumberFormat="1" applyFont="1" applyFill="1" applyBorder="1" applyAlignment="1">
      <alignment horizontal="center" vertical="center" wrapText="1"/>
      <protection/>
    </xf>
    <xf numFmtId="180" fontId="75" fillId="0" borderId="14" xfId="0" applyNumberFormat="1" applyFont="1" applyFill="1" applyBorder="1" applyAlignment="1">
      <alignment horizontal="center" vertical="center"/>
    </xf>
    <xf numFmtId="0" fontId="8" fillId="0" borderId="11" xfId="57" applyNumberFormat="1" applyFont="1" applyFill="1" applyBorder="1" applyAlignment="1">
      <alignment vertical="center" wrapText="1"/>
      <protection/>
    </xf>
    <xf numFmtId="0" fontId="75" fillId="0" borderId="11" xfId="55" applyNumberFormat="1" applyFont="1" applyFill="1" applyBorder="1" applyAlignment="1">
      <alignment horizontal="center" vertical="center" wrapText="1"/>
      <protection/>
    </xf>
    <xf numFmtId="180" fontId="75" fillId="0" borderId="11" xfId="0" applyNumberFormat="1" applyFont="1" applyFill="1" applyBorder="1" applyAlignment="1">
      <alignment horizontal="center" vertical="center"/>
    </xf>
    <xf numFmtId="192" fontId="75" fillId="0" borderId="11" xfId="62" applyNumberFormat="1" applyFont="1" applyFill="1" applyBorder="1" applyAlignment="1">
      <alignment horizontal="center" vertical="center"/>
    </xf>
    <xf numFmtId="180" fontId="8" fillId="0" borderId="14" xfId="55" applyNumberFormat="1" applyFont="1" applyFill="1" applyBorder="1" applyAlignment="1">
      <alignment vertical="center" wrapText="1"/>
      <protection/>
    </xf>
    <xf numFmtId="180" fontId="75" fillId="0" borderId="14" xfId="55" applyNumberFormat="1" applyFont="1" applyFill="1" applyBorder="1" applyAlignment="1">
      <alignment horizontal="center" vertical="center" wrapText="1"/>
      <protection/>
    </xf>
    <xf numFmtId="192" fontId="75" fillId="0" borderId="14" xfId="62" applyNumberFormat="1" applyFont="1" applyFill="1" applyBorder="1" applyAlignment="1">
      <alignment horizontal="center" vertical="center"/>
    </xf>
    <xf numFmtId="49" fontId="75" fillId="0" borderId="14" xfId="55" applyNumberFormat="1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left" vertical="center" wrapText="1"/>
    </xf>
    <xf numFmtId="0" fontId="75" fillId="0" borderId="11" xfId="55" applyFont="1" applyFill="1" applyBorder="1" applyAlignment="1">
      <alignment horizontal="center" vertical="center" wrapText="1"/>
      <protection/>
    </xf>
    <xf numFmtId="180" fontId="75" fillId="0" borderId="11" xfId="55" applyNumberFormat="1" applyFont="1" applyFill="1" applyBorder="1" applyAlignment="1">
      <alignment horizontal="center" vertical="center"/>
      <protection/>
    </xf>
    <xf numFmtId="0" fontId="69" fillId="0" borderId="11" xfId="55" applyFont="1" applyFill="1" applyBorder="1" applyAlignment="1">
      <alignment horizontal="center" vertical="center" wrapText="1"/>
      <protection/>
    </xf>
    <xf numFmtId="192" fontId="69" fillId="0" borderId="11" xfId="62" applyNumberFormat="1" applyFont="1" applyFill="1" applyBorder="1" applyAlignment="1">
      <alignment horizontal="center" vertical="center"/>
    </xf>
    <xf numFmtId="49" fontId="3" fillId="0" borderId="11" xfId="55" applyNumberFormat="1" applyFont="1" applyFill="1" applyBorder="1" applyAlignment="1">
      <alignment horizontal="center" vertical="center"/>
      <protection/>
    </xf>
    <xf numFmtId="49" fontId="69" fillId="0" borderId="11" xfId="55" applyNumberFormat="1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vertical="center" wrapText="1"/>
      <protection/>
    </xf>
    <xf numFmtId="180" fontId="76" fillId="0" borderId="11" xfId="0" applyNumberFormat="1" applyFont="1" applyFill="1" applyBorder="1" applyAlignment="1">
      <alignment horizontal="center" vertical="center"/>
    </xf>
    <xf numFmtId="192" fontId="76" fillId="0" borderId="11" xfId="62" applyNumberFormat="1" applyFont="1" applyFill="1" applyBorder="1" applyAlignment="1">
      <alignment horizontal="center" vertical="center"/>
    </xf>
    <xf numFmtId="192" fontId="77" fillId="0" borderId="11" xfId="62" applyNumberFormat="1" applyFont="1" applyFill="1" applyBorder="1" applyAlignment="1">
      <alignment horizontal="center" vertical="center"/>
    </xf>
    <xf numFmtId="49" fontId="68" fillId="0" borderId="12" xfId="55" applyNumberFormat="1" applyFont="1" applyFill="1" applyBorder="1" applyAlignment="1">
      <alignment horizontal="center" vertical="center"/>
      <protection/>
    </xf>
    <xf numFmtId="180" fontId="4" fillId="0" borderId="12" xfId="55" applyNumberFormat="1" applyFont="1" applyFill="1" applyBorder="1" applyAlignment="1">
      <alignment vertical="center"/>
      <protection/>
    </xf>
    <xf numFmtId="0" fontId="69" fillId="0" borderId="13" xfId="55" applyNumberFormat="1" applyFont="1" applyFill="1" applyBorder="1" applyAlignment="1">
      <alignment horizontal="center" vertical="center" wrapText="1"/>
      <protection/>
    </xf>
    <xf numFmtId="180" fontId="76" fillId="0" borderId="13" xfId="55" applyNumberFormat="1" applyFont="1" applyFill="1" applyBorder="1" applyAlignment="1">
      <alignment vertical="center" wrapText="1"/>
      <protection/>
    </xf>
    <xf numFmtId="180" fontId="76" fillId="0" borderId="13" xfId="55" applyNumberFormat="1" applyFont="1" applyFill="1" applyBorder="1" applyAlignment="1">
      <alignment horizontal="center" vertical="center" wrapText="1"/>
      <protection/>
    </xf>
    <xf numFmtId="192" fontId="76" fillId="0" borderId="15" xfId="62" applyNumberFormat="1" applyFont="1" applyFill="1" applyBorder="1" applyAlignment="1">
      <alignment horizontal="center" vertical="center" wrapText="1"/>
    </xf>
    <xf numFmtId="49" fontId="68" fillId="0" borderId="11" xfId="55" applyNumberFormat="1" applyFont="1" applyFill="1" applyBorder="1" applyAlignment="1">
      <alignment horizontal="center" vertical="center"/>
      <protection/>
    </xf>
    <xf numFmtId="0" fontId="4" fillId="0" borderId="16" xfId="57" applyNumberFormat="1" applyFont="1" applyFill="1" applyBorder="1" applyAlignment="1">
      <alignment horizontal="left" wrapText="1" indent="3"/>
      <protection/>
    </xf>
    <xf numFmtId="0" fontId="68" fillId="0" borderId="16" xfId="55" applyNumberFormat="1" applyFont="1" applyFill="1" applyBorder="1" applyAlignment="1">
      <alignment horizontal="center" vertical="center" wrapText="1"/>
      <protection/>
    </xf>
    <xf numFmtId="180" fontId="68" fillId="13" borderId="11" xfId="0" applyNumberFormat="1" applyFont="1" applyFill="1" applyBorder="1" applyAlignment="1" applyProtection="1">
      <alignment horizontal="center" vertical="center"/>
      <protection/>
    </xf>
    <xf numFmtId="180" fontId="77" fillId="0" borderId="16" xfId="0" applyNumberFormat="1" applyFont="1" applyFill="1" applyBorder="1" applyAlignment="1">
      <alignment horizontal="center" vertical="center"/>
    </xf>
    <xf numFmtId="0" fontId="4" fillId="0" borderId="11" xfId="57" applyNumberFormat="1" applyFont="1" applyFill="1" applyBorder="1" applyAlignment="1">
      <alignment horizontal="left" wrapText="1" indent="3"/>
      <protection/>
    </xf>
    <xf numFmtId="0" fontId="68" fillId="0" borderId="11" xfId="55" applyNumberFormat="1" applyFont="1" applyFill="1" applyBorder="1" applyAlignment="1">
      <alignment horizontal="center" vertical="center" wrapText="1"/>
      <protection/>
    </xf>
    <xf numFmtId="180" fontId="77" fillId="0" borderId="11" xfId="0" applyNumberFormat="1" applyFont="1" applyFill="1" applyBorder="1" applyAlignment="1">
      <alignment horizontal="center" vertical="center"/>
    </xf>
    <xf numFmtId="0" fontId="4" fillId="0" borderId="14" xfId="57" applyNumberFormat="1" applyFont="1" applyFill="1" applyBorder="1" applyAlignment="1">
      <alignment horizontal="left" wrapText="1" indent="3"/>
      <protection/>
    </xf>
    <xf numFmtId="0" fontId="68" fillId="0" borderId="14" xfId="55" applyNumberFormat="1" applyFont="1" applyFill="1" applyBorder="1" applyAlignment="1">
      <alignment horizontal="center" vertical="center" wrapText="1"/>
      <protection/>
    </xf>
    <xf numFmtId="180" fontId="77" fillId="0" borderId="14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/>
    </xf>
    <xf numFmtId="180" fontId="78" fillId="13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57" applyNumberFormat="1" applyFont="1" applyFill="1" applyBorder="1" applyAlignment="1">
      <alignment wrapText="1"/>
      <protection/>
    </xf>
    <xf numFmtId="180" fontId="68" fillId="0" borderId="11" xfId="0" applyNumberFormat="1" applyFont="1" applyFill="1" applyBorder="1" applyAlignment="1">
      <alignment horizontal="center" vertical="center"/>
    </xf>
    <xf numFmtId="192" fontId="68" fillId="0" borderId="11" xfId="62" applyNumberFormat="1" applyFont="1" applyFill="1" applyBorder="1" applyAlignment="1">
      <alignment horizontal="center" vertical="center"/>
    </xf>
    <xf numFmtId="0" fontId="4" fillId="0" borderId="11" xfId="55" applyNumberFormat="1" applyFont="1" applyFill="1" applyBorder="1" applyAlignment="1">
      <alignment vertical="center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49" fontId="78" fillId="0" borderId="12" xfId="55" applyNumberFormat="1" applyFont="1" applyFill="1" applyBorder="1" applyAlignment="1">
      <alignment horizontal="center" vertical="center"/>
      <protection/>
    </xf>
    <xf numFmtId="180" fontId="78" fillId="0" borderId="13" xfId="55" applyNumberFormat="1" applyFont="1" applyFill="1" applyBorder="1" applyAlignment="1">
      <alignment horizontal="center" vertical="center" wrapText="1"/>
      <protection/>
    </xf>
    <xf numFmtId="180" fontId="78" fillId="0" borderId="13" xfId="0" applyNumberFormat="1" applyFont="1" applyFill="1" applyBorder="1" applyAlignment="1">
      <alignment horizontal="center" vertical="center"/>
    </xf>
    <xf numFmtId="192" fontId="78" fillId="0" borderId="15" xfId="62" applyNumberFormat="1" applyFont="1" applyFill="1" applyBorder="1" applyAlignment="1">
      <alignment horizontal="center" vertical="center"/>
    </xf>
    <xf numFmtId="49" fontId="4" fillId="0" borderId="11" xfId="55" applyNumberFormat="1" applyFont="1" applyFill="1" applyBorder="1" applyAlignment="1">
      <alignment horizontal="center" vertical="center"/>
      <protection/>
    </xf>
    <xf numFmtId="180" fontId="4" fillId="0" borderId="16" xfId="55" applyNumberFormat="1" applyFont="1" applyFill="1" applyBorder="1" applyAlignment="1">
      <alignment horizontal="left" vertical="center" wrapText="1" indent="3"/>
      <protection/>
    </xf>
    <xf numFmtId="180" fontId="4" fillId="0" borderId="16" xfId="55" applyNumberFormat="1" applyFont="1" applyFill="1" applyBorder="1" applyAlignment="1">
      <alignment horizontal="center" vertical="center" wrapText="1"/>
      <protection/>
    </xf>
    <xf numFmtId="180" fontId="68" fillId="0" borderId="16" xfId="0" applyNumberFormat="1" applyFont="1" applyFill="1" applyBorder="1" applyAlignment="1">
      <alignment horizontal="center" vertical="center"/>
    </xf>
    <xf numFmtId="192" fontId="68" fillId="0" borderId="16" xfId="62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 wrapText="1"/>
      <protection/>
    </xf>
    <xf numFmtId="180" fontId="78" fillId="0" borderId="13" xfId="55" applyNumberFormat="1" applyFont="1" applyFill="1" applyBorder="1" applyAlignment="1">
      <alignment vertical="center" wrapText="1"/>
      <protection/>
    </xf>
    <xf numFmtId="192" fontId="78" fillId="0" borderId="15" xfId="62" applyNumberFormat="1" applyFont="1" applyFill="1" applyBorder="1" applyAlignment="1">
      <alignment horizontal="center" vertical="center" wrapText="1"/>
    </xf>
    <xf numFmtId="180" fontId="4" fillId="0" borderId="11" xfId="55" applyNumberFormat="1" applyFont="1" applyFill="1" applyBorder="1" applyAlignment="1">
      <alignment horizontal="left" vertical="center" wrapText="1" indent="3"/>
      <protection/>
    </xf>
    <xf numFmtId="180" fontId="68" fillId="0" borderId="11" xfId="55" applyNumberFormat="1" applyFont="1" applyFill="1" applyBorder="1" applyAlignment="1">
      <alignment horizontal="center" vertical="center" wrapText="1"/>
      <protection/>
    </xf>
    <xf numFmtId="192" fontId="77" fillId="0" borderId="16" xfId="62" applyNumberFormat="1" applyFont="1" applyFill="1" applyBorder="1" applyAlignment="1">
      <alignment horizontal="center" vertical="center"/>
    </xf>
    <xf numFmtId="180" fontId="4" fillId="0" borderId="14" xfId="55" applyNumberFormat="1" applyFont="1" applyFill="1" applyBorder="1" applyAlignment="1">
      <alignment horizontal="left" vertical="center" wrapText="1" indent="3"/>
      <protection/>
    </xf>
    <xf numFmtId="192" fontId="77" fillId="0" borderId="14" xfId="62" applyNumberFormat="1" applyFont="1" applyFill="1" applyBorder="1" applyAlignment="1">
      <alignment horizontal="center" vertical="center"/>
    </xf>
    <xf numFmtId="180" fontId="68" fillId="0" borderId="13" xfId="55" applyNumberFormat="1" applyFont="1" applyFill="1" applyBorder="1" applyAlignment="1">
      <alignment horizontal="center" vertical="center" wrapText="1"/>
      <protection/>
    </xf>
    <xf numFmtId="180" fontId="68" fillId="0" borderId="13" xfId="55" applyNumberFormat="1" applyFont="1" applyFill="1" applyBorder="1" applyAlignment="1">
      <alignment vertical="center" wrapText="1"/>
      <protection/>
    </xf>
    <xf numFmtId="192" fontId="68" fillId="0" borderId="15" xfId="62" applyNumberFormat="1" applyFont="1" applyFill="1" applyBorder="1" applyAlignment="1">
      <alignment horizontal="center" vertical="center" wrapText="1"/>
    </xf>
    <xf numFmtId="180" fontId="68" fillId="0" borderId="16" xfId="55" applyNumberFormat="1" applyFont="1" applyFill="1" applyBorder="1" applyAlignment="1">
      <alignment horizontal="center" vertical="center" wrapText="1"/>
      <protection/>
    </xf>
    <xf numFmtId="192" fontId="78" fillId="0" borderId="13" xfId="62" applyNumberFormat="1" applyFont="1" applyFill="1" applyBorder="1" applyAlignment="1">
      <alignment horizontal="center" vertical="center" wrapText="1"/>
    </xf>
    <xf numFmtId="180" fontId="4" fillId="0" borderId="12" xfId="55" applyNumberFormat="1" applyFont="1" applyFill="1" applyBorder="1" applyAlignment="1">
      <alignment vertical="center" wrapText="1"/>
      <protection/>
    </xf>
    <xf numFmtId="0" fontId="68" fillId="0" borderId="11" xfId="55" applyFont="1" applyFill="1" applyBorder="1" applyAlignment="1">
      <alignment horizontal="center" vertical="center" wrapText="1"/>
      <protection/>
    </xf>
    <xf numFmtId="180" fontId="4" fillId="0" borderId="17" xfId="55" applyNumberFormat="1" applyFont="1" applyFill="1" applyBorder="1" applyAlignment="1">
      <alignment horizontal="left" vertical="center" wrapText="1"/>
      <protection/>
    </xf>
    <xf numFmtId="180" fontId="78" fillId="0" borderId="0" xfId="55" applyNumberFormat="1" applyFont="1" applyFill="1" applyBorder="1" applyAlignment="1">
      <alignment horizontal="center" vertical="center" wrapText="1"/>
      <protection/>
    </xf>
    <xf numFmtId="180" fontId="77" fillId="0" borderId="0" xfId="0" applyNumberFormat="1" applyFont="1" applyFill="1" applyBorder="1" applyAlignment="1">
      <alignment horizontal="center" vertical="center"/>
    </xf>
    <xf numFmtId="192" fontId="77" fillId="0" borderId="0" xfId="62" applyNumberFormat="1" applyFont="1" applyFill="1" applyBorder="1" applyAlignment="1">
      <alignment horizontal="center" vertical="center"/>
    </xf>
    <xf numFmtId="180" fontId="78" fillId="0" borderId="12" xfId="55" applyNumberFormat="1" applyFont="1" applyFill="1" applyBorder="1" applyAlignment="1">
      <alignment horizontal="center" vertical="center" wrapText="1"/>
      <protection/>
    </xf>
    <xf numFmtId="180" fontId="9" fillId="0" borderId="11" xfId="0" applyNumberFormat="1" applyFont="1" applyFill="1" applyBorder="1" applyAlignment="1">
      <alignment horizontal="center" vertical="center"/>
    </xf>
    <xf numFmtId="192" fontId="9" fillId="0" borderId="11" xfId="62" applyNumberFormat="1" applyFont="1" applyFill="1" applyBorder="1" applyAlignment="1">
      <alignment horizontal="center" vertical="center"/>
    </xf>
    <xf numFmtId="0" fontId="4" fillId="0" borderId="14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/>
    </xf>
    <xf numFmtId="192" fontId="9" fillId="0" borderId="14" xfId="62" applyNumberFormat="1" applyFont="1" applyFill="1" applyBorder="1" applyAlignment="1">
      <alignment horizontal="center" vertical="center"/>
    </xf>
    <xf numFmtId="180" fontId="4" fillId="0" borderId="18" xfId="55" applyNumberFormat="1" applyFont="1" applyFill="1" applyBorder="1" applyAlignment="1">
      <alignment horizontal="left" vertical="center" wrapText="1" indent="5"/>
      <protection/>
    </xf>
    <xf numFmtId="0" fontId="68" fillId="0" borderId="13" xfId="55" applyFont="1" applyFill="1" applyBorder="1" applyAlignment="1">
      <alignment horizontal="center" vertical="center" wrapText="1"/>
      <protection/>
    </xf>
    <xf numFmtId="180" fontId="68" fillId="0" borderId="13" xfId="55" applyNumberFormat="1" applyFont="1" applyFill="1" applyBorder="1" applyAlignment="1">
      <alignment horizontal="center" vertical="center"/>
      <protection/>
    </xf>
    <xf numFmtId="180" fontId="68" fillId="0" borderId="13" xfId="0" applyNumberFormat="1" applyFont="1" applyFill="1" applyBorder="1" applyAlignment="1">
      <alignment horizontal="center" vertical="center"/>
    </xf>
    <xf numFmtId="192" fontId="68" fillId="0" borderId="15" xfId="62" applyNumberFormat="1" applyFont="1" applyFill="1" applyBorder="1" applyAlignment="1">
      <alignment horizontal="center" vertical="center"/>
    </xf>
    <xf numFmtId="0" fontId="68" fillId="0" borderId="16" xfId="55" applyFont="1" applyFill="1" applyBorder="1" applyAlignment="1">
      <alignment horizontal="center" vertical="center" wrapText="1"/>
      <protection/>
    </xf>
    <xf numFmtId="0" fontId="68" fillId="0" borderId="14" xfId="55" applyFont="1" applyFill="1" applyBorder="1" applyAlignment="1">
      <alignment horizontal="center" vertical="center" wrapText="1"/>
      <protection/>
    </xf>
    <xf numFmtId="180" fontId="68" fillId="0" borderId="14" xfId="0" applyNumberFormat="1" applyFont="1" applyFill="1" applyBorder="1" applyAlignment="1">
      <alignment horizontal="center" vertical="center"/>
    </xf>
    <xf numFmtId="192" fontId="68" fillId="0" borderId="14" xfId="62" applyNumberFormat="1" applyFont="1" applyFill="1" applyBorder="1" applyAlignment="1">
      <alignment horizontal="center" vertical="center"/>
    </xf>
    <xf numFmtId="0" fontId="4" fillId="0" borderId="11" xfId="57" applyNumberFormat="1" applyFont="1" applyFill="1" applyBorder="1" applyAlignment="1">
      <alignment horizontal="left" vertical="center" wrapText="1"/>
      <protection/>
    </xf>
    <xf numFmtId="49" fontId="68" fillId="0" borderId="14" xfId="56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left" wrapText="1" indent="2"/>
    </xf>
    <xf numFmtId="0" fontId="4" fillId="0" borderId="14" xfId="0" applyFont="1" applyFill="1" applyBorder="1" applyAlignment="1">
      <alignment horizontal="left" vertical="center" wrapText="1" indent="2"/>
    </xf>
    <xf numFmtId="49" fontId="8" fillId="0" borderId="11" xfId="55" applyNumberFormat="1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80" fontId="69" fillId="0" borderId="16" xfId="0" applyNumberFormat="1" applyFont="1" applyFill="1" applyBorder="1" applyAlignment="1">
      <alignment horizontal="center" vertical="center"/>
    </xf>
    <xf numFmtId="192" fontId="69" fillId="0" borderId="16" xfId="62" applyNumberFormat="1" applyFont="1" applyFill="1" applyBorder="1" applyAlignment="1">
      <alignment horizontal="center" vertical="center"/>
    </xf>
    <xf numFmtId="49" fontId="75" fillId="0" borderId="16" xfId="55" applyNumberFormat="1" applyFont="1" applyFill="1" applyBorder="1" applyAlignment="1">
      <alignment horizontal="center" vertical="center"/>
      <protection/>
    </xf>
    <xf numFmtId="180" fontId="8" fillId="0" borderId="11" xfId="55" applyNumberFormat="1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49" fontId="68" fillId="0" borderId="16" xfId="55" applyNumberFormat="1" applyFont="1" applyFill="1" applyBorder="1" applyAlignment="1">
      <alignment horizontal="center" vertical="center"/>
      <protection/>
    </xf>
    <xf numFmtId="180" fontId="4" fillId="0" borderId="11" xfId="55" applyNumberFormat="1" applyFont="1" applyFill="1" applyBorder="1" applyAlignment="1">
      <alignment horizontal="left" vertical="center" wrapText="1" indent="4"/>
      <protection/>
    </xf>
    <xf numFmtId="180" fontId="3" fillId="0" borderId="16" xfId="55" applyNumberFormat="1" applyFont="1" applyFill="1" applyBorder="1" applyAlignment="1">
      <alignment horizontal="left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180" fontId="68" fillId="13" borderId="11" xfId="0" applyNumberFormat="1" applyFont="1" applyFill="1" applyBorder="1" applyAlignment="1">
      <alignment horizontal="center" vertical="center"/>
    </xf>
    <xf numFmtId="180" fontId="3" fillId="0" borderId="11" xfId="55" applyNumberFormat="1" applyFont="1" applyFill="1" applyBorder="1" applyAlignment="1">
      <alignment horizontal="left" vertical="center" wrapText="1"/>
      <protection/>
    </xf>
    <xf numFmtId="180" fontId="3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92" fontId="4" fillId="0" borderId="11" xfId="62" applyNumberFormat="1" applyFont="1" applyFill="1" applyBorder="1" applyAlignment="1">
      <alignment horizontal="center" vertical="center"/>
    </xf>
    <xf numFmtId="180" fontId="4" fillId="0" borderId="11" xfId="55" applyNumberFormat="1" applyFont="1" applyFill="1" applyBorder="1" applyAlignment="1">
      <alignment horizontal="left" vertical="center" wrapText="1" indent="2"/>
      <protection/>
    </xf>
    <xf numFmtId="180" fontId="9" fillId="0" borderId="16" xfId="55" applyNumberFormat="1" applyFont="1" applyFill="1" applyBorder="1" applyAlignment="1">
      <alignment horizontal="center" vertical="center" wrapText="1"/>
      <protection/>
    </xf>
    <xf numFmtId="192" fontId="9" fillId="0" borderId="16" xfId="62" applyNumberFormat="1" applyFont="1" applyFill="1" applyBorder="1" applyAlignment="1">
      <alignment horizontal="center" vertical="center" wrapText="1"/>
    </xf>
    <xf numFmtId="180" fontId="3" fillId="0" borderId="11" xfId="55" applyNumberFormat="1" applyFont="1" applyFill="1" applyBorder="1" applyAlignment="1">
      <alignment wrapText="1"/>
      <protection/>
    </xf>
    <xf numFmtId="180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92" fontId="3" fillId="0" borderId="11" xfId="62" applyNumberFormat="1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180" fontId="4" fillId="0" borderId="16" xfId="55" applyNumberFormat="1" applyFont="1" applyFill="1" applyBorder="1" applyAlignment="1">
      <alignment horizontal="left" vertical="center" wrapText="1" indent="2"/>
      <protection/>
    </xf>
    <xf numFmtId="0" fontId="75" fillId="0" borderId="14" xfId="55" applyFont="1" applyFill="1" applyBorder="1" applyAlignment="1">
      <alignment horizontal="center" vertical="center" wrapText="1"/>
      <protection/>
    </xf>
    <xf numFmtId="180" fontId="8" fillId="0" borderId="11" xfId="55" applyNumberFormat="1" applyFont="1" applyFill="1" applyBorder="1" applyAlignment="1">
      <alignment horizontal="center" vertical="center" wrapText="1"/>
      <protection/>
    </xf>
    <xf numFmtId="180" fontId="8" fillId="0" borderId="11" xfId="0" applyNumberFormat="1" applyFont="1" applyFill="1" applyBorder="1" applyAlignment="1">
      <alignment horizontal="center" vertical="center"/>
    </xf>
    <xf numFmtId="192" fontId="8" fillId="0" borderId="11" xfId="62" applyNumberFormat="1" applyFont="1" applyFill="1" applyBorder="1" applyAlignment="1">
      <alignment horizontal="center" vertical="center"/>
    </xf>
    <xf numFmtId="180" fontId="79" fillId="0" borderId="11" xfId="0" applyNumberFormat="1" applyFont="1" applyFill="1" applyBorder="1" applyAlignment="1">
      <alignment horizontal="center" vertical="center"/>
    </xf>
    <xf numFmtId="192" fontId="79" fillId="0" borderId="11" xfId="62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left" vertical="center" wrapText="1" indent="3"/>
      <protection/>
    </xf>
    <xf numFmtId="180" fontId="4" fillId="0" borderId="19" xfId="55" applyNumberFormat="1" applyFont="1" applyFill="1" applyBorder="1" applyAlignment="1">
      <alignment horizontal="left" vertical="center" wrapText="1" indent="2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80" fontId="69" fillId="13" borderId="11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180" fontId="75" fillId="0" borderId="13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80" fontId="75" fillId="1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80" fontId="8" fillId="0" borderId="11" xfId="55" applyNumberFormat="1" applyFont="1" applyFill="1" applyBorder="1" applyAlignment="1">
      <alignment vertical="center" wrapText="1"/>
      <protection/>
    </xf>
    <xf numFmtId="180" fontId="75" fillId="0" borderId="11" xfId="55" applyNumberFormat="1" applyFont="1" applyFill="1" applyBorder="1" applyAlignment="1">
      <alignment horizontal="center" vertical="center" wrapText="1"/>
      <protection/>
    </xf>
    <xf numFmtId="180" fontId="75" fillId="0" borderId="20" xfId="0" applyNumberFormat="1" applyFont="1" applyFill="1" applyBorder="1" applyAlignment="1">
      <alignment horizontal="center" vertical="center"/>
    </xf>
    <xf numFmtId="180" fontId="4" fillId="0" borderId="11" xfId="55" applyNumberFormat="1" applyFont="1" applyFill="1" applyBorder="1" applyAlignment="1">
      <alignment vertical="center"/>
      <protection/>
    </xf>
    <xf numFmtId="180" fontId="78" fillId="0" borderId="11" xfId="55" applyNumberFormat="1" applyFont="1" applyFill="1" applyBorder="1" applyAlignment="1">
      <alignment horizontal="center" vertical="center" wrapText="1"/>
      <protection/>
    </xf>
    <xf numFmtId="180" fontId="4" fillId="0" borderId="11" xfId="55" applyNumberFormat="1" applyFont="1" applyFill="1" applyBorder="1" applyAlignment="1">
      <alignment horizontal="center" vertical="center" wrapText="1"/>
      <protection/>
    </xf>
    <xf numFmtId="180" fontId="68" fillId="13" borderId="15" xfId="0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left" vertical="center"/>
    </xf>
    <xf numFmtId="180" fontId="68" fillId="0" borderId="0" xfId="0" applyNumberFormat="1" applyFont="1" applyFill="1" applyAlignment="1">
      <alignment/>
    </xf>
    <xf numFmtId="180" fontId="4" fillId="13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81" fillId="0" borderId="0" xfId="0" applyFont="1" applyFill="1" applyAlignment="1">
      <alignment horizontal="center" vertical="center"/>
    </xf>
    <xf numFmtId="180" fontId="82" fillId="0" borderId="13" xfId="55" applyNumberFormat="1" applyFont="1" applyFill="1" applyBorder="1" applyAlignment="1">
      <alignment horizontal="center" vertical="center"/>
      <protection/>
    </xf>
    <xf numFmtId="0" fontId="80" fillId="0" borderId="0" xfId="0" applyFont="1" applyFill="1" applyAlignment="1">
      <alignment horizontal="center" vertical="center"/>
    </xf>
    <xf numFmtId="49" fontId="68" fillId="0" borderId="11" xfId="57" applyNumberFormat="1" applyFont="1" applyFill="1" applyBorder="1" applyAlignment="1">
      <alignment horizontal="center" vertical="center" wrapText="1"/>
      <protection/>
    </xf>
    <xf numFmtId="180" fontId="68" fillId="13" borderId="11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80" fontId="75" fillId="0" borderId="16" xfId="0" applyNumberFormat="1" applyFont="1" applyFill="1" applyBorder="1" applyAlignment="1">
      <alignment horizontal="center" vertical="center"/>
    </xf>
    <xf numFmtId="192" fontId="75" fillId="0" borderId="16" xfId="62" applyNumberFormat="1" applyFont="1" applyFill="1" applyBorder="1" applyAlignment="1">
      <alignment horizontal="center" vertical="center"/>
    </xf>
    <xf numFmtId="180" fontId="4" fillId="13" borderId="11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92" fontId="10" fillId="0" borderId="11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6" fillId="0" borderId="0" xfId="0" applyFont="1" applyFill="1" applyAlignment="1">
      <alignment/>
    </xf>
    <xf numFmtId="180" fontId="83" fillId="0" borderId="11" xfId="0" applyNumberFormat="1" applyFont="1" applyFill="1" applyBorder="1" applyAlignment="1">
      <alignment horizontal="center" vertical="center"/>
    </xf>
    <xf numFmtId="192" fontId="83" fillId="0" borderId="11" xfId="62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180" fontId="4" fillId="1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/>
    </xf>
    <xf numFmtId="49" fontId="69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49" fontId="71" fillId="0" borderId="0" xfId="0" applyNumberFormat="1" applyFont="1" applyFill="1" applyAlignment="1">
      <alignment horizontal="center" vertical="center"/>
    </xf>
    <xf numFmtId="180" fontId="71" fillId="0" borderId="0" xfId="0" applyNumberFormat="1" applyFont="1" applyFill="1" applyAlignment="1">
      <alignment horizontal="center"/>
    </xf>
    <xf numFmtId="180" fontId="71" fillId="0" borderId="0" xfId="0" applyNumberFormat="1" applyFont="1" applyFill="1" applyAlignment="1">
      <alignment horizontal="center" vertical="center"/>
    </xf>
    <xf numFmtId="192" fontId="71" fillId="0" borderId="0" xfId="62" applyNumberFormat="1" applyFont="1" applyFill="1" applyAlignment="1">
      <alignment horizontal="center" vertical="center"/>
    </xf>
    <xf numFmtId="49" fontId="71" fillId="0" borderId="0" xfId="0" applyNumberFormat="1" applyFont="1" applyFill="1" applyAlignment="1">
      <alignment vertical="center"/>
    </xf>
    <xf numFmtId="0" fontId="71" fillId="0" borderId="0" xfId="0" applyFont="1" applyFill="1" applyAlignment="1">
      <alignment horizontal="center"/>
    </xf>
    <xf numFmtId="180" fontId="71" fillId="0" borderId="0" xfId="0" applyNumberFormat="1" applyFont="1" applyFill="1" applyAlignment="1">
      <alignment/>
    </xf>
    <xf numFmtId="180" fontId="85" fillId="0" borderId="0" xfId="0" applyNumberFormat="1" applyFont="1" applyFill="1" applyAlignment="1">
      <alignment/>
    </xf>
    <xf numFmtId="192" fontId="86" fillId="0" borderId="0" xfId="62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0" fontId="75" fillId="13" borderId="0" xfId="0" applyNumberFormat="1" applyFont="1" applyFill="1" applyBorder="1" applyAlignment="1" applyProtection="1">
      <alignment horizontal="center" vertical="top" wrapText="1" shrinkToFit="1" readingOrder="1"/>
      <protection hidden="1"/>
    </xf>
    <xf numFmtId="0" fontId="75" fillId="0" borderId="0" xfId="0" applyFont="1" applyFill="1" applyBorder="1" applyAlignment="1">
      <alignment horizontal="center" vertical="top" wrapText="1" shrinkToFit="1" readingOrder="1"/>
    </xf>
    <xf numFmtId="0" fontId="75" fillId="13" borderId="0" xfId="0" applyFont="1" applyFill="1" applyBorder="1" applyAlignment="1" applyProtection="1">
      <alignment horizontal="center" vertical="top" wrapText="1" shrinkToFit="1" readingOrder="1"/>
      <protection hidden="1"/>
    </xf>
  </cellXfs>
  <cellStyles count="54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3 10" xfId="54"/>
    <cellStyle name="Обычный 2 5" xfId="55"/>
    <cellStyle name="Обычный 2 5 2" xfId="56"/>
    <cellStyle name="Обычный 7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view="pageBreakPreview" zoomScale="80" zoomScaleNormal="60" zoomScaleSheetLayoutView="80" zoomScalePageLayoutView="0" workbookViewId="0" topLeftCell="A1">
      <selection activeCell="B49" sqref="B49"/>
    </sheetView>
  </sheetViews>
  <sheetFormatPr defaultColWidth="9.00390625" defaultRowHeight="12.75"/>
  <cols>
    <col min="1" max="1" width="9.75390625" style="17" customWidth="1"/>
    <col min="2" max="2" width="56.25390625" style="11" customWidth="1"/>
    <col min="3" max="3" width="16.25390625" style="18" customWidth="1"/>
    <col min="4" max="4" width="25.875" style="19" customWidth="1"/>
    <col min="5" max="5" width="27.875" style="19" customWidth="1"/>
    <col min="6" max="6" width="21.125" style="19" customWidth="1"/>
    <col min="7" max="7" width="23.25390625" style="20" customWidth="1"/>
    <col min="8" max="8" width="15.625" style="21" customWidth="1"/>
    <col min="9" max="9" width="16.625" style="21" customWidth="1"/>
    <col min="10" max="10" width="24.625" style="16" customWidth="1"/>
    <col min="11" max="11" width="9.125" style="16" customWidth="1"/>
    <col min="12" max="12" width="14.75390625" style="16" customWidth="1"/>
    <col min="13" max="16" width="26.25390625" style="16" bestFit="1" customWidth="1"/>
    <col min="17" max="17" width="26.25390625" style="16" customWidth="1"/>
    <col min="18" max="16384" width="9.125" style="16" customWidth="1"/>
  </cols>
  <sheetData>
    <row r="1" spans="1:9" s="5" customFormat="1" ht="20.25">
      <c r="A1" s="226" t="s">
        <v>294</v>
      </c>
      <c r="B1" s="226"/>
      <c r="C1" s="226"/>
      <c r="D1" s="226"/>
      <c r="E1" s="226"/>
      <c r="F1" s="226"/>
      <c r="G1" s="226"/>
      <c r="H1" s="3"/>
      <c r="I1" s="4"/>
    </row>
    <row r="2" spans="1:9" s="5" customFormat="1" ht="21" customHeight="1">
      <c r="A2" s="227" t="s">
        <v>293</v>
      </c>
      <c r="B2" s="227"/>
      <c r="C2" s="227"/>
      <c r="D2" s="227"/>
      <c r="E2" s="227"/>
      <c r="F2" s="227"/>
      <c r="G2" s="227"/>
      <c r="H2" s="3"/>
      <c r="I2" s="3"/>
    </row>
    <row r="3" spans="1:9" s="5" customFormat="1" ht="21" customHeight="1">
      <c r="A3" s="225" t="s">
        <v>295</v>
      </c>
      <c r="B3" s="225"/>
      <c r="C3" s="225"/>
      <c r="D3" s="225"/>
      <c r="E3" s="225"/>
      <c r="F3" s="225"/>
      <c r="G3" s="225"/>
      <c r="H3" s="3"/>
      <c r="I3" s="3"/>
    </row>
    <row r="4" spans="1:9" s="5" customFormat="1" ht="20.25">
      <c r="A4" s="6"/>
      <c r="B4" s="7"/>
      <c r="C4" s="8"/>
      <c r="D4" s="9"/>
      <c r="E4" s="9"/>
      <c r="F4" s="2"/>
      <c r="G4" s="10"/>
      <c r="H4" s="224"/>
      <c r="I4" s="224"/>
    </row>
    <row r="5" spans="1:9" s="171" customFormat="1" ht="106.5" customHeight="1">
      <c r="A5" s="22" t="s">
        <v>296</v>
      </c>
      <c r="B5" s="23" t="s">
        <v>3</v>
      </c>
      <c r="C5" s="24" t="s">
        <v>4</v>
      </c>
      <c r="D5" s="25" t="str">
        <f>F377</f>
        <v>за 9 месяцев 2021 года</v>
      </c>
      <c r="E5" s="25" t="str">
        <f>+A3</f>
        <v>за 9 месяцев 2022 года</v>
      </c>
      <c r="F5" s="26" t="s">
        <v>297</v>
      </c>
      <c r="G5" s="27" t="s">
        <v>298</v>
      </c>
      <c r="H5" s="170"/>
      <c r="I5" s="170"/>
    </row>
    <row r="6" spans="1:9" s="5" customFormat="1" ht="20.25">
      <c r="A6" s="28">
        <v>1</v>
      </c>
      <c r="B6" s="29">
        <v>2</v>
      </c>
      <c r="C6" s="30">
        <v>3</v>
      </c>
      <c r="D6" s="31">
        <v>4</v>
      </c>
      <c r="E6" s="31">
        <v>5</v>
      </c>
      <c r="F6" s="32">
        <v>6</v>
      </c>
      <c r="G6" s="28" t="s">
        <v>0</v>
      </c>
      <c r="H6" s="168"/>
      <c r="I6" s="168"/>
    </row>
    <row r="7" spans="2:9" s="5" customFormat="1" ht="20.25">
      <c r="B7" s="33" t="s">
        <v>5</v>
      </c>
      <c r="C7" s="34"/>
      <c r="D7" s="172"/>
      <c r="E7" s="172"/>
      <c r="F7" s="35"/>
      <c r="G7" s="36"/>
      <c r="H7" s="168"/>
      <c r="I7" s="168"/>
    </row>
    <row r="8" spans="1:9" s="171" customFormat="1" ht="81">
      <c r="A8" s="37" t="s">
        <v>12</v>
      </c>
      <c r="B8" s="38" t="s">
        <v>13</v>
      </c>
      <c r="C8" s="39" t="s">
        <v>6</v>
      </c>
      <c r="D8" s="40">
        <f>+D10+D11+D12</f>
        <v>13</v>
      </c>
      <c r="E8" s="40">
        <f>+E10+E11+E12</f>
        <v>11</v>
      </c>
      <c r="F8" s="40">
        <f>+E8-D8</f>
        <v>-2</v>
      </c>
      <c r="G8" s="163">
        <f>+E8/D8-1</f>
        <v>-0.15384615384615385</v>
      </c>
      <c r="H8" s="173"/>
      <c r="I8" s="173"/>
    </row>
    <row r="9" spans="1:9" s="5" customFormat="1" ht="20.25" hidden="1">
      <c r="A9" s="60"/>
      <c r="B9" s="61" t="s">
        <v>14</v>
      </c>
      <c r="C9" s="62"/>
      <c r="D9" s="63"/>
      <c r="E9" s="63"/>
      <c r="F9" s="64"/>
      <c r="G9" s="65"/>
      <c r="H9" s="168"/>
      <c r="I9" s="168"/>
    </row>
    <row r="10" spans="1:9" s="174" customFormat="1" ht="18.75" hidden="1">
      <c r="A10" s="66" t="s">
        <v>15</v>
      </c>
      <c r="B10" s="67" t="s">
        <v>16</v>
      </c>
      <c r="C10" s="68" t="s">
        <v>6</v>
      </c>
      <c r="D10" s="69">
        <f>6+5</f>
        <v>11</v>
      </c>
      <c r="E10" s="69">
        <f>6+4</f>
        <v>10</v>
      </c>
      <c r="F10" s="70">
        <f>+E10-D10</f>
        <v>-1</v>
      </c>
      <c r="G10" s="59">
        <f>+E10/D10-1</f>
        <v>-0.09090909090909094</v>
      </c>
      <c r="H10" s="3"/>
      <c r="I10" s="3"/>
    </row>
    <row r="11" spans="1:9" s="174" customFormat="1" ht="18.75" hidden="1">
      <c r="A11" s="66" t="s">
        <v>17</v>
      </c>
      <c r="B11" s="71" t="s">
        <v>18</v>
      </c>
      <c r="C11" s="72" t="s">
        <v>6</v>
      </c>
      <c r="D11" s="69">
        <v>1</v>
      </c>
      <c r="E11" s="69">
        <v>0</v>
      </c>
      <c r="F11" s="73">
        <f>+E11-D11</f>
        <v>-1</v>
      </c>
      <c r="G11" s="59">
        <f>+E11/D11-1</f>
        <v>-1</v>
      </c>
      <c r="H11" s="168"/>
      <c r="I11" s="168"/>
    </row>
    <row r="12" spans="1:9" s="174" customFormat="1" ht="18.75" hidden="1">
      <c r="A12" s="66" t="s">
        <v>19</v>
      </c>
      <c r="B12" s="74" t="s">
        <v>20</v>
      </c>
      <c r="C12" s="75" t="s">
        <v>6</v>
      </c>
      <c r="D12" s="69">
        <v>1</v>
      </c>
      <c r="E12" s="69">
        <v>1</v>
      </c>
      <c r="F12" s="76">
        <f>+E12-D12</f>
        <v>0</v>
      </c>
      <c r="G12" s="59">
        <f>+E12/D12-1</f>
        <v>0</v>
      </c>
      <c r="H12" s="168"/>
      <c r="I12" s="168"/>
    </row>
    <row r="13" spans="1:9" s="5" customFormat="1" ht="20.25" hidden="1">
      <c r="A13" s="60"/>
      <c r="B13" s="61" t="s">
        <v>21</v>
      </c>
      <c r="C13" s="62"/>
      <c r="D13" s="63"/>
      <c r="E13" s="63"/>
      <c r="F13" s="64"/>
      <c r="G13" s="65"/>
      <c r="H13" s="3"/>
      <c r="I13" s="3"/>
    </row>
    <row r="14" spans="1:9" s="174" customFormat="1" ht="18.75" hidden="1">
      <c r="A14" s="77" t="s">
        <v>22</v>
      </c>
      <c r="B14" s="71" t="s">
        <v>23</v>
      </c>
      <c r="C14" s="72" t="s">
        <v>6</v>
      </c>
      <c r="D14" s="69">
        <v>0</v>
      </c>
      <c r="E14" s="69">
        <v>1</v>
      </c>
      <c r="F14" s="73">
        <f>+E14-D14</f>
        <v>1</v>
      </c>
      <c r="G14" s="59" t="e">
        <f>+E14/D14-1</f>
        <v>#DIV/0!</v>
      </c>
      <c r="H14" s="168"/>
      <c r="I14" s="168"/>
    </row>
    <row r="15" spans="1:9" s="174" customFormat="1" ht="18.75" hidden="1">
      <c r="A15" s="77" t="s">
        <v>24</v>
      </c>
      <c r="B15" s="74" t="s">
        <v>25</v>
      </c>
      <c r="C15" s="75" t="s">
        <v>6</v>
      </c>
      <c r="D15" s="69">
        <v>0</v>
      </c>
      <c r="E15" s="69">
        <v>0</v>
      </c>
      <c r="F15" s="76">
        <f>+E15-D15</f>
        <v>0</v>
      </c>
      <c r="G15" s="59" t="e">
        <f>+E15/D15-1</f>
        <v>#DIV/0!</v>
      </c>
      <c r="H15" s="168"/>
      <c r="I15" s="168"/>
    </row>
    <row r="16" spans="1:9" s="5" customFormat="1" ht="81" hidden="1">
      <c r="A16" s="37" t="s">
        <v>26</v>
      </c>
      <c r="B16" s="41" t="s">
        <v>27</v>
      </c>
      <c r="C16" s="42" t="s">
        <v>6</v>
      </c>
      <c r="D16" s="175">
        <v>1</v>
      </c>
      <c r="E16" s="175">
        <v>2</v>
      </c>
      <c r="F16" s="43">
        <f>+E16-D16</f>
        <v>1</v>
      </c>
      <c r="G16" s="44">
        <f>+E16/D16-1</f>
        <v>1</v>
      </c>
      <c r="H16" s="176"/>
      <c r="I16" s="176"/>
    </row>
    <row r="17" spans="1:9" s="5" customFormat="1" ht="101.25">
      <c r="A17" s="37" t="s">
        <v>28</v>
      </c>
      <c r="B17" s="41" t="s">
        <v>29</v>
      </c>
      <c r="C17" s="42" t="s">
        <v>6</v>
      </c>
      <c r="D17" s="43">
        <f>+D18+D21+D24</f>
        <v>55</v>
      </c>
      <c r="E17" s="43">
        <f>+E18+E21+E24</f>
        <v>32</v>
      </c>
      <c r="F17" s="43">
        <f>+E17-D17</f>
        <v>-23</v>
      </c>
      <c r="G17" s="44">
        <f>+E17/D17-1</f>
        <v>-0.4181818181818182</v>
      </c>
      <c r="H17" s="3"/>
      <c r="I17" s="3"/>
    </row>
    <row r="18" spans="1:9" s="1" customFormat="1" ht="15.75" customHeight="1" hidden="1">
      <c r="A18" s="66" t="s">
        <v>30</v>
      </c>
      <c r="B18" s="79" t="s">
        <v>31</v>
      </c>
      <c r="C18" s="72" t="s">
        <v>6</v>
      </c>
      <c r="D18" s="80">
        <f>+D19+D20</f>
        <v>26</v>
      </c>
      <c r="E18" s="80">
        <f>+E19+E20</f>
        <v>25</v>
      </c>
      <c r="F18" s="80">
        <f aca="true" t="shared" si="0" ref="F18:F33">+E18-D18</f>
        <v>-1</v>
      </c>
      <c r="G18" s="81">
        <f aca="true" t="shared" si="1" ref="G18:G33">+E18/D18-1</f>
        <v>-0.038461538461538436</v>
      </c>
      <c r="H18" s="3"/>
      <c r="I18" s="3"/>
    </row>
    <row r="19" spans="1:9" s="174" customFormat="1" ht="18.75" hidden="1">
      <c r="A19" s="66" t="s">
        <v>32</v>
      </c>
      <c r="B19" s="79" t="s">
        <v>33</v>
      </c>
      <c r="C19" s="72" t="s">
        <v>6</v>
      </c>
      <c r="D19" s="69">
        <f>10+2</f>
        <v>12</v>
      </c>
      <c r="E19" s="69">
        <f>3+4</f>
        <v>7</v>
      </c>
      <c r="F19" s="73">
        <f t="shared" si="0"/>
        <v>-5</v>
      </c>
      <c r="G19" s="59">
        <f t="shared" si="1"/>
        <v>-0.41666666666666663</v>
      </c>
      <c r="H19" s="3"/>
      <c r="I19" s="3"/>
    </row>
    <row r="20" spans="1:9" s="174" customFormat="1" ht="18.75" hidden="1">
      <c r="A20" s="66" t="s">
        <v>34</v>
      </c>
      <c r="B20" s="79" t="s">
        <v>35</v>
      </c>
      <c r="C20" s="72" t="s">
        <v>6</v>
      </c>
      <c r="D20" s="69">
        <v>14</v>
      </c>
      <c r="E20" s="69">
        <v>18</v>
      </c>
      <c r="F20" s="73">
        <f t="shared" si="0"/>
        <v>4</v>
      </c>
      <c r="G20" s="59">
        <f t="shared" si="1"/>
        <v>0.2857142857142858</v>
      </c>
      <c r="H20" s="3"/>
      <c r="I20" s="3"/>
    </row>
    <row r="21" spans="1:9" s="1" customFormat="1" ht="34.5" customHeight="1" hidden="1">
      <c r="A21" s="66" t="s">
        <v>36</v>
      </c>
      <c r="B21" s="82" t="s">
        <v>37</v>
      </c>
      <c r="C21" s="72" t="s">
        <v>6</v>
      </c>
      <c r="D21" s="80">
        <f>D22+D23</f>
        <v>29</v>
      </c>
      <c r="E21" s="80">
        <f>E22+E23</f>
        <v>7</v>
      </c>
      <c r="F21" s="80">
        <f t="shared" si="0"/>
        <v>-22</v>
      </c>
      <c r="G21" s="81">
        <f t="shared" si="1"/>
        <v>-0.7586206896551724</v>
      </c>
      <c r="H21" s="3"/>
      <c r="I21" s="3"/>
    </row>
    <row r="22" spans="1:9" s="174" customFormat="1" ht="18.75" hidden="1">
      <c r="A22" s="66" t="s">
        <v>38</v>
      </c>
      <c r="B22" s="79" t="s">
        <v>33</v>
      </c>
      <c r="C22" s="72" t="s">
        <v>6</v>
      </c>
      <c r="D22" s="69">
        <v>3</v>
      </c>
      <c r="E22" s="69">
        <v>1</v>
      </c>
      <c r="F22" s="73">
        <f t="shared" si="0"/>
        <v>-2</v>
      </c>
      <c r="G22" s="59">
        <f t="shared" si="1"/>
        <v>-0.6666666666666667</v>
      </c>
      <c r="H22" s="3"/>
      <c r="I22" s="3"/>
    </row>
    <row r="23" spans="1:9" s="174" customFormat="1" ht="18.75" hidden="1">
      <c r="A23" s="66" t="s">
        <v>39</v>
      </c>
      <c r="B23" s="79" t="s">
        <v>35</v>
      </c>
      <c r="C23" s="72" t="s">
        <v>6</v>
      </c>
      <c r="D23" s="69">
        <f>14+12</f>
        <v>26</v>
      </c>
      <c r="E23" s="69">
        <v>6</v>
      </c>
      <c r="F23" s="73">
        <f t="shared" si="0"/>
        <v>-20</v>
      </c>
      <c r="G23" s="59">
        <f t="shared" si="1"/>
        <v>-0.7692307692307692</v>
      </c>
      <c r="H23" s="3"/>
      <c r="I23" s="3"/>
    </row>
    <row r="24" spans="1:9" s="1" customFormat="1" ht="37.5" hidden="1">
      <c r="A24" s="66" t="s">
        <v>40</v>
      </c>
      <c r="B24" s="83" t="s">
        <v>41</v>
      </c>
      <c r="C24" s="72" t="s">
        <v>6</v>
      </c>
      <c r="D24" s="80">
        <f>+D25+D26</f>
        <v>0</v>
      </c>
      <c r="E24" s="80">
        <f>+E25+E26</f>
        <v>0</v>
      </c>
      <c r="F24" s="80">
        <f t="shared" si="0"/>
        <v>0</v>
      </c>
      <c r="G24" s="81" t="e">
        <f t="shared" si="1"/>
        <v>#DIV/0!</v>
      </c>
      <c r="H24" s="3"/>
      <c r="I24" s="3"/>
    </row>
    <row r="25" spans="1:9" s="174" customFormat="1" ht="18.75" hidden="1">
      <c r="A25" s="66" t="s">
        <v>42</v>
      </c>
      <c r="B25" s="79" t="s">
        <v>33</v>
      </c>
      <c r="C25" s="72" t="s">
        <v>6</v>
      </c>
      <c r="D25" s="69">
        <v>0</v>
      </c>
      <c r="E25" s="69">
        <v>0</v>
      </c>
      <c r="F25" s="73">
        <f t="shared" si="0"/>
        <v>0</v>
      </c>
      <c r="G25" s="59" t="e">
        <f t="shared" si="1"/>
        <v>#DIV/0!</v>
      </c>
      <c r="H25" s="3"/>
      <c r="I25" s="3"/>
    </row>
    <row r="26" spans="1:9" s="174" customFormat="1" ht="18.75" hidden="1">
      <c r="A26" s="66" t="s">
        <v>43</v>
      </c>
      <c r="B26" s="79" t="s">
        <v>35</v>
      </c>
      <c r="C26" s="72" t="s">
        <v>6</v>
      </c>
      <c r="D26" s="69">
        <v>0</v>
      </c>
      <c r="E26" s="69">
        <v>0</v>
      </c>
      <c r="F26" s="73">
        <f t="shared" si="0"/>
        <v>0</v>
      </c>
      <c r="G26" s="59" t="e">
        <f t="shared" si="1"/>
        <v>#DIV/0!</v>
      </c>
      <c r="H26" s="3"/>
      <c r="I26" s="3"/>
    </row>
    <row r="27" spans="1:9" s="1" customFormat="1" ht="37.5" hidden="1">
      <c r="A27" s="66" t="s">
        <v>44</v>
      </c>
      <c r="B27" s="79" t="s">
        <v>45</v>
      </c>
      <c r="C27" s="72" t="s">
        <v>6</v>
      </c>
      <c r="D27" s="80">
        <f>+D28+D29</f>
        <v>33</v>
      </c>
      <c r="E27" s="80">
        <f>+E28+E29</f>
        <v>6</v>
      </c>
      <c r="F27" s="80">
        <f t="shared" si="0"/>
        <v>-27</v>
      </c>
      <c r="G27" s="81">
        <f t="shared" si="1"/>
        <v>-0.8181818181818181</v>
      </c>
      <c r="H27" s="3"/>
      <c r="I27" s="3"/>
    </row>
    <row r="28" spans="1:9" s="174" customFormat="1" ht="18.75" hidden="1">
      <c r="A28" s="66" t="s">
        <v>46</v>
      </c>
      <c r="B28" s="79" t="s">
        <v>33</v>
      </c>
      <c r="C28" s="72" t="s">
        <v>6</v>
      </c>
      <c r="D28" s="69">
        <v>7</v>
      </c>
      <c r="E28" s="69">
        <v>3</v>
      </c>
      <c r="F28" s="73">
        <f t="shared" si="0"/>
        <v>-4</v>
      </c>
      <c r="G28" s="59">
        <f t="shared" si="1"/>
        <v>-0.5714285714285714</v>
      </c>
      <c r="H28" s="3"/>
      <c r="I28" s="3" t="s">
        <v>299</v>
      </c>
    </row>
    <row r="29" spans="1:9" s="174" customFormat="1" ht="18.75" hidden="1">
      <c r="A29" s="66" t="s">
        <v>47</v>
      </c>
      <c r="B29" s="79" t="s">
        <v>35</v>
      </c>
      <c r="C29" s="72" t="s">
        <v>6</v>
      </c>
      <c r="D29" s="69">
        <f>18+8</f>
        <v>26</v>
      </c>
      <c r="E29" s="69">
        <v>3</v>
      </c>
      <c r="F29" s="73">
        <f t="shared" si="0"/>
        <v>-23</v>
      </c>
      <c r="G29" s="59">
        <f t="shared" si="1"/>
        <v>-0.8846153846153846</v>
      </c>
      <c r="H29" s="3"/>
      <c r="I29" s="3"/>
    </row>
    <row r="30" spans="1:9" s="5" customFormat="1" ht="60.75">
      <c r="A30" s="37" t="s">
        <v>48</v>
      </c>
      <c r="B30" s="177" t="s">
        <v>49</v>
      </c>
      <c r="C30" s="178" t="s">
        <v>444</v>
      </c>
      <c r="D30" s="179">
        <v>182083.662</v>
      </c>
      <c r="E30" s="40">
        <v>103589.526</v>
      </c>
      <c r="F30" s="40">
        <f t="shared" si="0"/>
        <v>-78494.13600000001</v>
      </c>
      <c r="G30" s="47">
        <f t="shared" si="1"/>
        <v>-0.43108829830103046</v>
      </c>
      <c r="H30" s="3"/>
      <c r="I30" s="3"/>
    </row>
    <row r="31" spans="1:9" s="1" customFormat="1" ht="18.75" hidden="1">
      <c r="A31" s="84"/>
      <c r="B31" s="180" t="s">
        <v>51</v>
      </c>
      <c r="C31" s="181"/>
      <c r="D31" s="86"/>
      <c r="E31" s="86"/>
      <c r="F31" s="86"/>
      <c r="G31" s="87"/>
      <c r="H31" s="3"/>
      <c r="I31" s="3"/>
    </row>
    <row r="32" spans="1:9" s="1" customFormat="1" ht="18.75" hidden="1">
      <c r="A32" s="88" t="s">
        <v>52</v>
      </c>
      <c r="B32" s="96" t="s">
        <v>53</v>
      </c>
      <c r="C32" s="182" t="s">
        <v>50</v>
      </c>
      <c r="D32" s="183">
        <f>40777429.1+95029488.8</f>
        <v>135806917.9</v>
      </c>
      <c r="E32" s="69">
        <f>87479049.1+16110477.4</f>
        <v>103589526.5</v>
      </c>
      <c r="F32" s="91">
        <f t="shared" si="0"/>
        <v>-32217391.400000006</v>
      </c>
      <c r="G32" s="92">
        <f t="shared" si="1"/>
        <v>-0.23722938343776379</v>
      </c>
      <c r="H32" s="3"/>
      <c r="I32" s="3"/>
    </row>
    <row r="33" spans="1:9" s="1" customFormat="1" ht="61.5" customHeight="1" hidden="1">
      <c r="A33" s="88" t="s">
        <v>54</v>
      </c>
      <c r="B33" s="96" t="s">
        <v>55</v>
      </c>
      <c r="C33" s="93" t="s">
        <v>50</v>
      </c>
      <c r="D33" s="183">
        <f>45457828.9+818915.6</f>
        <v>46276744.5</v>
      </c>
      <c r="E33" s="69">
        <v>0</v>
      </c>
      <c r="F33" s="80">
        <f t="shared" si="0"/>
        <v>-46276744.5</v>
      </c>
      <c r="G33" s="81">
        <f t="shared" si="1"/>
        <v>-1</v>
      </c>
      <c r="H33" s="3" t="str">
        <f>IF(D33=D43+D44+D45,"ОК","Ошибка")</f>
        <v>ОК</v>
      </c>
      <c r="I33" s="3" t="str">
        <f>IF(E33=E43+E44+E45,"ОК","Ошибка")</f>
        <v>ОК</v>
      </c>
    </row>
    <row r="34" spans="1:9" s="1" customFormat="1" ht="18.75" hidden="1">
      <c r="A34" s="60"/>
      <c r="B34" s="180" t="s">
        <v>56</v>
      </c>
      <c r="C34" s="181"/>
      <c r="D34" s="94"/>
      <c r="E34" s="94"/>
      <c r="F34" s="85"/>
      <c r="G34" s="95"/>
      <c r="H34" s="3" t="str">
        <f>IF(D30=D35+D36+D37,"ОК","Ошибка")</f>
        <v>ОК</v>
      </c>
      <c r="I34" s="3" t="str">
        <f>IF(E30=E35+E36+E37,"ОК","Ошибка")</f>
        <v>Ошибка</v>
      </c>
    </row>
    <row r="35" spans="1:9" s="174" customFormat="1" ht="24" customHeight="1" hidden="1">
      <c r="A35" s="88" t="s">
        <v>57</v>
      </c>
      <c r="B35" s="96" t="s">
        <v>58</v>
      </c>
      <c r="C35" s="97" t="s">
        <v>444</v>
      </c>
      <c r="D35" s="183">
        <v>87372.349</v>
      </c>
      <c r="E35" s="69">
        <v>47485.573</v>
      </c>
      <c r="F35" s="73">
        <f>+E35-D35</f>
        <v>-39886.776000000005</v>
      </c>
      <c r="G35" s="59">
        <f>+E35/D35-1</f>
        <v>-0.456514863758556</v>
      </c>
      <c r="H35" s="184"/>
      <c r="I35" s="184"/>
    </row>
    <row r="36" spans="1:9" s="174" customFormat="1" ht="25.5" customHeight="1" hidden="1">
      <c r="A36" s="88" t="s">
        <v>59</v>
      </c>
      <c r="B36" s="96" t="s">
        <v>60</v>
      </c>
      <c r="C36" s="97" t="s">
        <v>444</v>
      </c>
      <c r="D36" s="69">
        <v>94711.313</v>
      </c>
      <c r="E36" s="69">
        <v>56103.952</v>
      </c>
      <c r="F36" s="73">
        <f>+E36-D36</f>
        <v>-38607.361</v>
      </c>
      <c r="G36" s="59">
        <f>+E36/D36-1</f>
        <v>-0.40763199006648765</v>
      </c>
      <c r="H36" s="3"/>
      <c r="I36" s="3"/>
    </row>
    <row r="37" spans="1:9" s="174" customFormat="1" ht="18.75" hidden="1">
      <c r="A37" s="88" t="s">
        <v>61</v>
      </c>
      <c r="B37" s="99" t="s">
        <v>62</v>
      </c>
      <c r="C37" s="97" t="s">
        <v>444</v>
      </c>
      <c r="D37" s="69">
        <v>0</v>
      </c>
      <c r="E37" s="69">
        <v>0</v>
      </c>
      <c r="F37" s="73">
        <f>+E37-D37</f>
        <v>0</v>
      </c>
      <c r="G37" s="59" t="e">
        <f>+E37/D37-1</f>
        <v>#DIV/0!</v>
      </c>
      <c r="H37" s="3"/>
      <c r="I37" s="3"/>
    </row>
    <row r="38" spans="1:9" s="1" customFormat="1" ht="18.75" hidden="1">
      <c r="A38" s="60"/>
      <c r="B38" s="61" t="s">
        <v>14</v>
      </c>
      <c r="C38" s="101"/>
      <c r="D38" s="102"/>
      <c r="E38" s="102"/>
      <c r="F38" s="101"/>
      <c r="G38" s="103"/>
      <c r="H38" s="3" t="str">
        <f>IF(D30=D39+D40+D41,"ОК","Ошибка")</f>
        <v>Ошибка</v>
      </c>
      <c r="I38" s="3" t="str">
        <f>IF(E30=E39+E40+E41,"ОК","Ошибка")</f>
        <v>Ошибка</v>
      </c>
    </row>
    <row r="39" spans="1:9" s="174" customFormat="1" ht="18.75" hidden="1">
      <c r="A39" s="88" t="s">
        <v>63</v>
      </c>
      <c r="B39" s="89" t="s">
        <v>64</v>
      </c>
      <c r="C39" s="104" t="s">
        <v>50</v>
      </c>
      <c r="D39" s="69">
        <f>85717129+95848404.4</f>
        <v>181565533.4</v>
      </c>
      <c r="E39" s="69">
        <f>87479049.1+16110477.4</f>
        <v>103589526.5</v>
      </c>
      <c r="F39" s="70">
        <f>+E39-D39</f>
        <v>-77976006.9</v>
      </c>
      <c r="G39" s="98">
        <f>+E39/D39-1</f>
        <v>-0.4294648077739186</v>
      </c>
      <c r="H39" s="184"/>
      <c r="I39" s="184"/>
    </row>
    <row r="40" spans="1:9" s="174" customFormat="1" ht="18.75" hidden="1">
      <c r="A40" s="88" t="s">
        <v>65</v>
      </c>
      <c r="B40" s="96" t="s">
        <v>66</v>
      </c>
      <c r="C40" s="97" t="s">
        <v>50</v>
      </c>
      <c r="D40" s="69">
        <v>518129</v>
      </c>
      <c r="E40" s="69">
        <v>0</v>
      </c>
      <c r="F40" s="73">
        <f aca="true" t="shared" si="2" ref="F40:F56">+E40-D40</f>
        <v>-518129</v>
      </c>
      <c r="G40" s="59">
        <f aca="true" t="shared" si="3" ref="G40:G56">+E40/D40-1</f>
        <v>-1</v>
      </c>
      <c r="H40" s="3"/>
      <c r="I40" s="3"/>
    </row>
    <row r="41" spans="1:9" s="174" customFormat="1" ht="18.75" hidden="1">
      <c r="A41" s="88" t="s">
        <v>67</v>
      </c>
      <c r="B41" s="96" t="s">
        <v>68</v>
      </c>
      <c r="C41" s="97" t="s">
        <v>50</v>
      </c>
      <c r="D41" s="69">
        <v>0</v>
      </c>
      <c r="E41" s="69">
        <v>0</v>
      </c>
      <c r="F41" s="73">
        <f t="shared" si="2"/>
        <v>0</v>
      </c>
      <c r="G41" s="59" t="e">
        <f t="shared" si="3"/>
        <v>#DIV/0!</v>
      </c>
      <c r="H41" s="3"/>
      <c r="I41" s="3"/>
    </row>
    <row r="42" spans="1:9" s="1" customFormat="1" ht="18.75" hidden="1">
      <c r="A42" s="60"/>
      <c r="B42" s="61" t="s">
        <v>69</v>
      </c>
      <c r="C42" s="85"/>
      <c r="D42" s="94"/>
      <c r="E42" s="94"/>
      <c r="F42" s="85"/>
      <c r="G42" s="105"/>
      <c r="H42" s="3" t="str">
        <f>IF(D30=D43+D44+D45+D46+D47,"ОК","Ошибка")</f>
        <v>Ошибка</v>
      </c>
      <c r="I42" s="3" t="str">
        <f>IF(E30=E43+E44+E45+E46+E47,"ОК","Ошибка")</f>
        <v>Ошибка</v>
      </c>
    </row>
    <row r="43" spans="1:9" s="174" customFormat="1" ht="37.5" hidden="1">
      <c r="A43" s="88" t="s">
        <v>70</v>
      </c>
      <c r="B43" s="96" t="s">
        <v>71</v>
      </c>
      <c r="C43" s="97" t="s">
        <v>50</v>
      </c>
      <c r="D43" s="69">
        <v>0</v>
      </c>
      <c r="E43" s="69">
        <v>0</v>
      </c>
      <c r="F43" s="73">
        <f t="shared" si="2"/>
        <v>0</v>
      </c>
      <c r="G43" s="59" t="e">
        <f t="shared" si="3"/>
        <v>#DIV/0!</v>
      </c>
      <c r="H43" s="3"/>
      <c r="I43" s="3"/>
    </row>
    <row r="44" spans="1:9" s="174" customFormat="1" ht="39" customHeight="1" hidden="1">
      <c r="A44" s="88" t="s">
        <v>72</v>
      </c>
      <c r="B44" s="96" t="s">
        <v>73</v>
      </c>
      <c r="C44" s="97" t="s">
        <v>50</v>
      </c>
      <c r="D44" s="69">
        <v>0</v>
      </c>
      <c r="E44" s="69">
        <v>0</v>
      </c>
      <c r="F44" s="73">
        <f t="shared" si="2"/>
        <v>0</v>
      </c>
      <c r="G44" s="59" t="e">
        <f t="shared" si="3"/>
        <v>#DIV/0!</v>
      </c>
      <c r="H44" s="3"/>
      <c r="I44" s="3"/>
    </row>
    <row r="45" spans="1:9" s="174" customFormat="1" ht="45" customHeight="1" hidden="1">
      <c r="A45" s="88" t="s">
        <v>74</v>
      </c>
      <c r="B45" s="96" t="s">
        <v>75</v>
      </c>
      <c r="C45" s="97" t="s">
        <v>50</v>
      </c>
      <c r="D45" s="69">
        <f>45457828.9+818915.6</f>
        <v>46276744.5</v>
      </c>
      <c r="E45" s="69">
        <v>0</v>
      </c>
      <c r="F45" s="73">
        <f t="shared" si="2"/>
        <v>-46276744.5</v>
      </c>
      <c r="G45" s="59">
        <f t="shared" si="3"/>
        <v>-1</v>
      </c>
      <c r="H45" s="3"/>
      <c r="I45" s="3"/>
    </row>
    <row r="46" spans="1:9" s="174" customFormat="1" ht="18.75" hidden="1">
      <c r="A46" s="88" t="s">
        <v>76</v>
      </c>
      <c r="B46" s="96" t="s">
        <v>77</v>
      </c>
      <c r="C46" s="97" t="s">
        <v>50</v>
      </c>
      <c r="D46" s="69">
        <f>3795587+80889366.8</f>
        <v>84684953.8</v>
      </c>
      <c r="E46" s="69">
        <f>33905068.9+5241326</f>
        <v>39146394.9</v>
      </c>
      <c r="F46" s="73">
        <f>+E46-D46</f>
        <v>-45538558.9</v>
      </c>
      <c r="G46" s="59">
        <f>+E46/D46-1</f>
        <v>-0.5377408483630772</v>
      </c>
      <c r="H46" s="3"/>
      <c r="I46" s="3"/>
    </row>
    <row r="47" spans="1:9" s="174" customFormat="1" ht="18.75" hidden="1">
      <c r="A47" s="88" t="s">
        <v>78</v>
      </c>
      <c r="B47" s="96" t="s">
        <v>79</v>
      </c>
      <c r="C47" s="97" t="s">
        <v>50</v>
      </c>
      <c r="D47" s="69">
        <f>36981842.1+14140122</f>
        <v>51121964.1</v>
      </c>
      <c r="E47" s="69">
        <f>53573980.2+10869151.4</f>
        <v>64443131.6</v>
      </c>
      <c r="F47" s="73">
        <f>+E47-D47</f>
        <v>13321167.5</v>
      </c>
      <c r="G47" s="59">
        <f>+E47/D47-1</f>
        <v>0.26057620700844697</v>
      </c>
      <c r="H47" s="3" t="str">
        <f>IF(D32=D47+D46,"ОК","Ошибка")</f>
        <v>ОК</v>
      </c>
      <c r="I47" s="3" t="str">
        <f>IF(E32=E47+E46,"ОК","Ошибка")</f>
        <v>ОК</v>
      </c>
    </row>
    <row r="48" spans="1:9" s="1" customFormat="1" ht="37.5" hidden="1">
      <c r="A48" s="88" t="s">
        <v>80</v>
      </c>
      <c r="B48" s="106" t="s">
        <v>81</v>
      </c>
      <c r="C48" s="97" t="s">
        <v>50</v>
      </c>
      <c r="D48" s="69">
        <v>0</v>
      </c>
      <c r="E48" s="69">
        <v>22457420</v>
      </c>
      <c r="F48" s="80">
        <f t="shared" si="2"/>
        <v>22457420</v>
      </c>
      <c r="G48" s="81" t="e">
        <f t="shared" si="3"/>
        <v>#DIV/0!</v>
      </c>
      <c r="H48" s="3"/>
      <c r="I48" s="3"/>
    </row>
    <row r="49" spans="1:9" s="5" customFormat="1" ht="81">
      <c r="A49" s="37" t="s">
        <v>82</v>
      </c>
      <c r="B49" s="45" t="s">
        <v>83</v>
      </c>
      <c r="C49" s="46" t="s">
        <v>444</v>
      </c>
      <c r="D49" s="40">
        <f>D50+D51+D52+D53</f>
        <v>1148688.3839999998</v>
      </c>
      <c r="E49" s="40">
        <f>E50+E51+E52+E53</f>
        <v>127142.324</v>
      </c>
      <c r="F49" s="40">
        <f t="shared" si="2"/>
        <v>-1021546.0599999998</v>
      </c>
      <c r="G49" s="47">
        <f t="shared" si="3"/>
        <v>-0.8893152174506537</v>
      </c>
      <c r="I49" s="185"/>
    </row>
    <row r="50" spans="1:9" s="1" customFormat="1" ht="18.75" hidden="1">
      <c r="A50" s="66" t="s">
        <v>84</v>
      </c>
      <c r="B50" s="96" t="s">
        <v>7</v>
      </c>
      <c r="C50" s="97" t="s">
        <v>444</v>
      </c>
      <c r="D50" s="69">
        <v>1092168.055</v>
      </c>
      <c r="E50" s="69">
        <v>61014.244</v>
      </c>
      <c r="F50" s="73">
        <f t="shared" si="2"/>
        <v>-1031153.811</v>
      </c>
      <c r="G50" s="59">
        <f t="shared" si="3"/>
        <v>-0.9441347476510837</v>
      </c>
      <c r="H50" s="3"/>
      <c r="I50" s="3"/>
    </row>
    <row r="51" spans="1:9" s="1" customFormat="1" ht="75" hidden="1">
      <c r="A51" s="88" t="s">
        <v>85</v>
      </c>
      <c r="B51" s="96" t="s">
        <v>86</v>
      </c>
      <c r="C51" s="97" t="s">
        <v>444</v>
      </c>
      <c r="D51" s="69">
        <v>0</v>
      </c>
      <c r="E51" s="69">
        <v>0</v>
      </c>
      <c r="F51" s="73">
        <f t="shared" si="2"/>
        <v>0</v>
      </c>
      <c r="G51" s="59" t="e">
        <f t="shared" si="3"/>
        <v>#DIV/0!</v>
      </c>
      <c r="H51" s="3"/>
      <c r="I51" s="3"/>
    </row>
    <row r="52" spans="1:10" s="1" customFormat="1" ht="56.25" hidden="1">
      <c r="A52" s="88" t="s">
        <v>87</v>
      </c>
      <c r="B52" s="96" t="s">
        <v>8</v>
      </c>
      <c r="C52" s="97" t="s">
        <v>444</v>
      </c>
      <c r="D52" s="69">
        <v>9575.231</v>
      </c>
      <c r="E52" s="69">
        <v>7254.865</v>
      </c>
      <c r="F52" s="73">
        <f t="shared" si="2"/>
        <v>-2320.366</v>
      </c>
      <c r="G52" s="59">
        <f t="shared" si="3"/>
        <v>-0.2423300283826051</v>
      </c>
      <c r="H52" s="3"/>
      <c r="I52" s="3"/>
      <c r="J52" s="186"/>
    </row>
    <row r="53" spans="1:9" s="1" customFormat="1" ht="18.75" hidden="1">
      <c r="A53" s="88" t="s">
        <v>88</v>
      </c>
      <c r="B53" s="96" t="s">
        <v>9</v>
      </c>
      <c r="C53" s="97" t="s">
        <v>444</v>
      </c>
      <c r="D53" s="69">
        <v>46945.098</v>
      </c>
      <c r="E53" s="69">
        <v>58873.215</v>
      </c>
      <c r="F53" s="73">
        <f t="shared" si="2"/>
        <v>11928.116999999998</v>
      </c>
      <c r="G53" s="59">
        <f t="shared" si="3"/>
        <v>0.25408652890659633</v>
      </c>
      <c r="H53" s="3"/>
      <c r="I53" s="3"/>
    </row>
    <row r="54" spans="2:9" s="1" customFormat="1" ht="18.75" hidden="1">
      <c r="B54" s="108" t="s">
        <v>89</v>
      </c>
      <c r="C54" s="109"/>
      <c r="D54" s="69"/>
      <c r="E54" s="69"/>
      <c r="F54" s="110"/>
      <c r="G54" s="111"/>
      <c r="H54" s="3"/>
      <c r="I54" s="3"/>
    </row>
    <row r="55" spans="1:9" s="1" customFormat="1" ht="75" hidden="1">
      <c r="A55" s="66" t="s">
        <v>300</v>
      </c>
      <c r="B55" s="96" t="s">
        <v>90</v>
      </c>
      <c r="C55" s="107" t="s">
        <v>50</v>
      </c>
      <c r="D55" s="69">
        <f>30486881.2+1074796.3</f>
        <v>31561677.5</v>
      </c>
      <c r="E55" s="69">
        <v>0</v>
      </c>
      <c r="F55" s="73">
        <f>+E55-D55</f>
        <v>-31561677.5</v>
      </c>
      <c r="G55" s="59">
        <f>+E55/D55-1</f>
        <v>-1</v>
      </c>
      <c r="H55" s="3"/>
      <c r="I55" s="3"/>
    </row>
    <row r="56" spans="1:9" s="174" customFormat="1" ht="18.75" hidden="1">
      <c r="A56" s="66" t="s">
        <v>91</v>
      </c>
      <c r="B56" s="96" t="s">
        <v>53</v>
      </c>
      <c r="C56" s="107" t="s">
        <v>50</v>
      </c>
      <c r="D56" s="69">
        <f>1098312482.1+18814226.2</f>
        <v>1117126708.3</v>
      </c>
      <c r="E56" s="69">
        <f>92697454.91+34444869.7</f>
        <v>127142324.61</v>
      </c>
      <c r="F56" s="73">
        <f t="shared" si="2"/>
        <v>-989984383.6899999</v>
      </c>
      <c r="G56" s="59">
        <f t="shared" si="3"/>
        <v>-0.8861880897973693</v>
      </c>
      <c r="H56" s="3"/>
      <c r="I56" s="3"/>
    </row>
    <row r="57" spans="1:9" s="1" customFormat="1" ht="18.75" hidden="1">
      <c r="A57" s="66"/>
      <c r="B57" s="61" t="s">
        <v>92</v>
      </c>
      <c r="C57" s="112"/>
      <c r="D57" s="69"/>
      <c r="E57" s="69"/>
      <c r="F57" s="85"/>
      <c r="G57" s="95"/>
      <c r="H57" s="3"/>
      <c r="I57" s="3"/>
    </row>
    <row r="58" spans="1:9" s="188" customFormat="1" ht="18.75" hidden="1">
      <c r="A58" s="88" t="s">
        <v>93</v>
      </c>
      <c r="B58" s="96" t="s">
        <v>94</v>
      </c>
      <c r="C58" s="93" t="s">
        <v>50</v>
      </c>
      <c r="D58" s="69">
        <f>1455954.9+73952.8</f>
        <v>1529907.7</v>
      </c>
      <c r="E58" s="187">
        <f>537457.1+84979.8</f>
        <v>622436.9</v>
      </c>
      <c r="F58" s="113">
        <f>+E58-D58</f>
        <v>-907470.7999999999</v>
      </c>
      <c r="G58" s="114">
        <f>+E58/D58-1</f>
        <v>-0.5931539530129823</v>
      </c>
      <c r="H58" s="3"/>
      <c r="I58" s="3"/>
    </row>
    <row r="59" spans="1:9" s="188" customFormat="1" ht="18.75" hidden="1">
      <c r="A59" s="88" t="s">
        <v>95</v>
      </c>
      <c r="B59" s="96" t="s">
        <v>96</v>
      </c>
      <c r="C59" s="93" t="s">
        <v>50</v>
      </c>
      <c r="D59" s="69">
        <f>26699+2739685.2</f>
        <v>2766384.2</v>
      </c>
      <c r="E59" s="187">
        <v>69518.7</v>
      </c>
      <c r="F59" s="113">
        <f>+E59-D59</f>
        <v>-2696865.5</v>
      </c>
      <c r="G59" s="114">
        <f>+E59/D59-1</f>
        <v>-0.9748701933737187</v>
      </c>
      <c r="H59" s="3"/>
      <c r="I59" s="3"/>
    </row>
    <row r="60" spans="1:9" s="188" customFormat="1" ht="37.5" hidden="1">
      <c r="A60" s="88" t="s">
        <v>97</v>
      </c>
      <c r="B60" s="96" t="s">
        <v>98</v>
      </c>
      <c r="C60" s="93" t="s">
        <v>50</v>
      </c>
      <c r="D60" s="69">
        <f>1084759667.1+3105998.2</f>
        <v>1087865665.3</v>
      </c>
      <c r="E60" s="187">
        <f>60101062.3+31770.6</f>
        <v>60132832.9</v>
      </c>
      <c r="F60" s="113">
        <f>+E60-D60</f>
        <v>-1027732832.4</v>
      </c>
      <c r="G60" s="114">
        <f>+E60/D60-1</f>
        <v>-0.9447240272231432</v>
      </c>
      <c r="H60" s="3"/>
      <c r="I60" s="3"/>
    </row>
    <row r="61" spans="1:9" s="188" customFormat="1" ht="18.75" hidden="1">
      <c r="A61" s="88" t="s">
        <v>99</v>
      </c>
      <c r="B61" s="99" t="s">
        <v>301</v>
      </c>
      <c r="C61" s="115" t="s">
        <v>50</v>
      </c>
      <c r="D61" s="69">
        <v>6098.7</v>
      </c>
      <c r="E61" s="187">
        <f>550+188905.7</f>
        <v>189455.7</v>
      </c>
      <c r="F61" s="116">
        <f>+E61-D61</f>
        <v>183357</v>
      </c>
      <c r="G61" s="117">
        <f>+E61/D61-1</f>
        <v>30.06493187072655</v>
      </c>
      <c r="H61" s="189"/>
      <c r="I61" s="189"/>
    </row>
    <row r="62" spans="1:9" s="188" customFormat="1" ht="18.75" hidden="1">
      <c r="A62" s="88" t="s">
        <v>302</v>
      </c>
      <c r="B62" s="118" t="s">
        <v>100</v>
      </c>
      <c r="C62" s="115" t="s">
        <v>50</v>
      </c>
      <c r="D62" s="69">
        <f>8451080.6+1564937.4</f>
        <v>10016018</v>
      </c>
      <c r="E62" s="187">
        <v>202169.4</v>
      </c>
      <c r="F62" s="116">
        <f>+E62-D62</f>
        <v>-9813848.6</v>
      </c>
      <c r="G62" s="117">
        <f>+E62/D62-1</f>
        <v>-0.979815391705566</v>
      </c>
      <c r="H62" s="189"/>
      <c r="I62" s="189"/>
    </row>
    <row r="63" spans="1:9" s="1" customFormat="1" ht="18.75" hidden="1">
      <c r="A63" s="60"/>
      <c r="B63" s="61" t="s">
        <v>101</v>
      </c>
      <c r="C63" s="119"/>
      <c r="D63" s="120"/>
      <c r="E63" s="190"/>
      <c r="F63" s="121"/>
      <c r="G63" s="122"/>
      <c r="H63" s="3"/>
      <c r="I63" s="3"/>
    </row>
    <row r="64" spans="1:9" s="174" customFormat="1" ht="18.75" hidden="1">
      <c r="A64" s="66" t="s">
        <v>303</v>
      </c>
      <c r="B64" s="89" t="s">
        <v>64</v>
      </c>
      <c r="C64" s="123" t="s">
        <v>50</v>
      </c>
      <c r="D64" s="69">
        <f>53556212.1+19889022.5</f>
        <v>73445234.6</v>
      </c>
      <c r="E64" s="187">
        <f>34369285.8+34444869.7</f>
        <v>68814155.5</v>
      </c>
      <c r="F64" s="91">
        <f>+E64-D64</f>
        <v>-4631079.099999994</v>
      </c>
      <c r="G64" s="92">
        <f>+E64/D64-1</f>
        <v>-0.06305486156075257</v>
      </c>
      <c r="H64" s="184"/>
      <c r="I64" s="184"/>
    </row>
    <row r="65" spans="1:9" s="174" customFormat="1" ht="18.75" hidden="1">
      <c r="A65" s="66" t="s">
        <v>304</v>
      </c>
      <c r="B65" s="96" t="s">
        <v>66</v>
      </c>
      <c r="C65" s="107" t="s">
        <v>50</v>
      </c>
      <c r="D65" s="69">
        <v>0</v>
      </c>
      <c r="E65" s="187">
        <v>0</v>
      </c>
      <c r="F65" s="80">
        <f>+E65-D65</f>
        <v>0</v>
      </c>
      <c r="G65" s="81" t="e">
        <f>+E65/D65-1</f>
        <v>#DIV/0!</v>
      </c>
      <c r="H65" s="3"/>
      <c r="I65" s="3"/>
    </row>
    <row r="66" spans="1:9" s="174" customFormat="1" ht="18.75" hidden="1">
      <c r="A66" s="66" t="s">
        <v>305</v>
      </c>
      <c r="B66" s="99" t="s">
        <v>68</v>
      </c>
      <c r="C66" s="124" t="s">
        <v>50</v>
      </c>
      <c r="D66" s="69">
        <v>1075243151.2</v>
      </c>
      <c r="E66" s="187">
        <v>58328169.11</v>
      </c>
      <c r="F66" s="125">
        <f>+E66-D66</f>
        <v>-1016914982.09</v>
      </c>
      <c r="G66" s="126">
        <f>+E66/D66-1</f>
        <v>-0.9457535078973494</v>
      </c>
      <c r="H66" s="3"/>
      <c r="I66" s="3"/>
    </row>
    <row r="67" spans="1:9" s="1" customFormat="1" ht="18.75" hidden="1">
      <c r="A67" s="60"/>
      <c r="B67" s="61" t="s">
        <v>102</v>
      </c>
      <c r="C67" s="119"/>
      <c r="D67" s="120"/>
      <c r="E67" s="120"/>
      <c r="F67" s="121"/>
      <c r="G67" s="122"/>
      <c r="H67" s="3"/>
      <c r="I67" s="3"/>
    </row>
    <row r="68" spans="1:9" s="174" customFormat="1" ht="18.75" hidden="1">
      <c r="A68" s="66" t="s">
        <v>306</v>
      </c>
      <c r="B68" s="89" t="s">
        <v>103</v>
      </c>
      <c r="C68" s="123" t="s">
        <v>50</v>
      </c>
      <c r="D68" s="69">
        <v>0</v>
      </c>
      <c r="E68" s="69">
        <v>0</v>
      </c>
      <c r="F68" s="91">
        <f>+E68-D68</f>
        <v>0</v>
      </c>
      <c r="G68" s="92" t="e">
        <f aca="true" t="shared" si="4" ref="G68:G88">+E68/D68-1</f>
        <v>#DIV/0!</v>
      </c>
      <c r="H68" s="191"/>
      <c r="I68" s="191"/>
    </row>
    <row r="69" spans="1:9" s="174" customFormat="1" ht="18.75" hidden="1">
      <c r="A69" s="66" t="s">
        <v>307</v>
      </c>
      <c r="B69" s="96" t="s">
        <v>104</v>
      </c>
      <c r="C69" s="107" t="s">
        <v>50</v>
      </c>
      <c r="D69" s="69">
        <v>0</v>
      </c>
      <c r="E69" s="69">
        <v>0</v>
      </c>
      <c r="F69" s="80">
        <f>+E69-D69</f>
        <v>0</v>
      </c>
      <c r="G69" s="81" t="e">
        <f t="shared" si="4"/>
        <v>#DIV/0!</v>
      </c>
      <c r="H69" s="3"/>
      <c r="I69" s="3"/>
    </row>
    <row r="70" spans="1:9" s="174" customFormat="1" ht="18.75" hidden="1">
      <c r="A70" s="66" t="s">
        <v>308</v>
      </c>
      <c r="B70" s="96" t="s">
        <v>105</v>
      </c>
      <c r="C70" s="107" t="s">
        <v>50</v>
      </c>
      <c r="D70" s="69">
        <f>6057850.8+57957.3</f>
        <v>6115808.1</v>
      </c>
      <c r="E70" s="69">
        <v>0</v>
      </c>
      <c r="F70" s="80">
        <f>+E70-D70</f>
        <v>-6115808.1</v>
      </c>
      <c r="G70" s="81">
        <f t="shared" si="4"/>
        <v>-1</v>
      </c>
      <c r="H70" s="3"/>
      <c r="I70" s="3"/>
    </row>
    <row r="71" spans="1:9" s="174" customFormat="1" ht="18.75" hidden="1">
      <c r="A71" s="66" t="s">
        <v>309</v>
      </c>
      <c r="B71" s="96" t="s">
        <v>79</v>
      </c>
      <c r="C71" s="107" t="s">
        <v>50</v>
      </c>
      <c r="D71" s="69">
        <f>1080190568.9+5861678.9</f>
        <v>1086052247.8000002</v>
      </c>
      <c r="E71" s="69">
        <f>60708588.1+305656.1</f>
        <v>61014244.2</v>
      </c>
      <c r="F71" s="80">
        <f>+E71-D71</f>
        <v>-1025038003.6000001</v>
      </c>
      <c r="G71" s="81">
        <f t="shared" si="4"/>
        <v>-0.9438201575259426</v>
      </c>
      <c r="H71" s="3"/>
      <c r="I71" s="3"/>
    </row>
    <row r="72" spans="1:9" s="174" customFormat="1" ht="37.5" hidden="1">
      <c r="A72" s="192" t="s">
        <v>310</v>
      </c>
      <c r="B72" s="127" t="s">
        <v>81</v>
      </c>
      <c r="C72" s="107" t="s">
        <v>50</v>
      </c>
      <c r="D72" s="69">
        <v>947466.5</v>
      </c>
      <c r="E72" s="69">
        <v>231714.6</v>
      </c>
      <c r="F72" s="80">
        <f>+E72-D72</f>
        <v>-715751.9</v>
      </c>
      <c r="G72" s="81">
        <f t="shared" si="4"/>
        <v>-0.7554376856595986</v>
      </c>
      <c r="H72" s="3"/>
      <c r="I72" s="3"/>
    </row>
    <row r="73" spans="1:9" s="174" customFormat="1" ht="37.5" hidden="1">
      <c r="A73" s="192" t="s">
        <v>311</v>
      </c>
      <c r="B73" s="127" t="s">
        <v>106</v>
      </c>
      <c r="C73" s="107" t="s">
        <v>50</v>
      </c>
      <c r="D73" s="69">
        <v>321378.6</v>
      </c>
      <c r="E73" s="69">
        <v>45367.3</v>
      </c>
      <c r="F73" s="80">
        <f aca="true" t="shared" si="5" ref="F73:F79">+E73-D73</f>
        <v>-276011.3</v>
      </c>
      <c r="G73" s="81">
        <f t="shared" si="4"/>
        <v>-0.8588353424901347</v>
      </c>
      <c r="H73" s="3"/>
      <c r="I73" s="3"/>
    </row>
    <row r="74" spans="1:9" s="5" customFormat="1" ht="52.5" customHeight="1" hidden="1">
      <c r="A74" s="48" t="s">
        <v>107</v>
      </c>
      <c r="B74" s="49" t="s">
        <v>108</v>
      </c>
      <c r="C74" s="50" t="s">
        <v>6</v>
      </c>
      <c r="D74" s="51">
        <f>D75+D76+D77+D78+D79</f>
        <v>1208</v>
      </c>
      <c r="E74" s="51">
        <f>E75+E76+E77+E78+E79</f>
        <v>679</v>
      </c>
      <c r="F74" s="43">
        <f>E74-D74</f>
        <v>-529</v>
      </c>
      <c r="G74" s="44">
        <f t="shared" si="4"/>
        <v>-0.4379139072847682</v>
      </c>
      <c r="H74" s="3"/>
      <c r="I74" s="3"/>
    </row>
    <row r="75" spans="1:9" s="5" customFormat="1" ht="74.25" customHeight="1" hidden="1">
      <c r="A75" s="128" t="s">
        <v>10</v>
      </c>
      <c r="B75" s="129" t="s">
        <v>109</v>
      </c>
      <c r="C75" s="52" t="s">
        <v>6</v>
      </c>
      <c r="D75" s="193">
        <f>260+407</f>
        <v>667</v>
      </c>
      <c r="E75" s="193">
        <f>226+89</f>
        <v>315</v>
      </c>
      <c r="F75" s="80">
        <f t="shared" si="5"/>
        <v>-352</v>
      </c>
      <c r="G75" s="53">
        <f t="shared" si="4"/>
        <v>-0.527736131934033</v>
      </c>
      <c r="H75" s="3"/>
      <c r="I75" s="3"/>
    </row>
    <row r="76" spans="1:9" s="5" customFormat="1" ht="49.5" customHeight="1" hidden="1">
      <c r="A76" s="128" t="s">
        <v>110</v>
      </c>
      <c r="B76" s="130" t="s">
        <v>96</v>
      </c>
      <c r="C76" s="52" t="s">
        <v>6</v>
      </c>
      <c r="D76" s="193">
        <v>40</v>
      </c>
      <c r="E76" s="193">
        <f>105+22</f>
        <v>127</v>
      </c>
      <c r="F76" s="80">
        <f t="shared" si="5"/>
        <v>87</v>
      </c>
      <c r="G76" s="53">
        <f t="shared" si="4"/>
        <v>2.175</v>
      </c>
      <c r="H76" s="3"/>
      <c r="I76" s="3"/>
    </row>
    <row r="77" spans="1:9" s="5" customFormat="1" ht="49.5" customHeight="1" hidden="1">
      <c r="A77" s="128" t="s">
        <v>111</v>
      </c>
      <c r="B77" s="130" t="s">
        <v>112</v>
      </c>
      <c r="C77" s="52" t="s">
        <v>6</v>
      </c>
      <c r="D77" s="193">
        <f>96+198</f>
        <v>294</v>
      </c>
      <c r="E77" s="193">
        <f>38+15</f>
        <v>53</v>
      </c>
      <c r="F77" s="80">
        <f t="shared" si="5"/>
        <v>-241</v>
      </c>
      <c r="G77" s="53">
        <f t="shared" si="4"/>
        <v>-0.8197278911564626</v>
      </c>
      <c r="H77" s="3"/>
      <c r="I77" s="3"/>
    </row>
    <row r="78" spans="1:9" s="5" customFormat="1" ht="49.5" customHeight="1" hidden="1">
      <c r="A78" s="128" t="s">
        <v>113</v>
      </c>
      <c r="B78" s="130" t="s">
        <v>114</v>
      </c>
      <c r="C78" s="52" t="s">
        <v>6</v>
      </c>
      <c r="D78" s="193">
        <v>14</v>
      </c>
      <c r="E78" s="193">
        <v>80</v>
      </c>
      <c r="F78" s="80">
        <f t="shared" si="5"/>
        <v>66</v>
      </c>
      <c r="G78" s="53">
        <f t="shared" si="4"/>
        <v>4.714285714285714</v>
      </c>
      <c r="H78" s="3"/>
      <c r="I78" s="3"/>
    </row>
    <row r="79" spans="1:9" s="5" customFormat="1" ht="49.5" customHeight="1" hidden="1">
      <c r="A79" s="128" t="s">
        <v>115</v>
      </c>
      <c r="B79" s="130" t="s">
        <v>116</v>
      </c>
      <c r="C79" s="52" t="s">
        <v>6</v>
      </c>
      <c r="D79" s="193">
        <f>133+60</f>
        <v>193</v>
      </c>
      <c r="E79" s="193">
        <f>99+5</f>
        <v>104</v>
      </c>
      <c r="F79" s="80">
        <f t="shared" si="5"/>
        <v>-89</v>
      </c>
      <c r="G79" s="53">
        <f t="shared" si="4"/>
        <v>-0.46113989637305697</v>
      </c>
      <c r="H79" s="3"/>
      <c r="I79" s="3"/>
    </row>
    <row r="80" spans="1:9" s="171" customFormat="1" ht="101.25">
      <c r="A80" s="131" t="s">
        <v>117</v>
      </c>
      <c r="B80" s="132" t="s">
        <v>118</v>
      </c>
      <c r="C80" s="50" t="s">
        <v>444</v>
      </c>
      <c r="D80" s="78">
        <v>0</v>
      </c>
      <c r="E80" s="78">
        <v>0</v>
      </c>
      <c r="F80" s="43">
        <f>+E80-D80</f>
        <v>0</v>
      </c>
      <c r="G80" s="44" t="e">
        <f t="shared" si="4"/>
        <v>#DIV/0!</v>
      </c>
      <c r="H80" s="194"/>
      <c r="I80" s="195"/>
    </row>
    <row r="81" spans="1:9" s="5" customFormat="1" ht="20.25" hidden="1">
      <c r="A81" s="54" t="s">
        <v>11</v>
      </c>
      <c r="B81" s="133" t="s">
        <v>119</v>
      </c>
      <c r="C81" s="52" t="s">
        <v>6</v>
      </c>
      <c r="D81" s="69">
        <f>230+221</f>
        <v>451</v>
      </c>
      <c r="E81" s="69">
        <f>186+89</f>
        <v>275</v>
      </c>
      <c r="F81" s="134">
        <f>+E81-D81</f>
        <v>-176</v>
      </c>
      <c r="G81" s="135">
        <f t="shared" si="4"/>
        <v>-0.3902439024390244</v>
      </c>
      <c r="H81" s="3"/>
      <c r="I81" s="196"/>
    </row>
    <row r="82" spans="1:9" s="171" customFormat="1" ht="40.5">
      <c r="A82" s="136" t="s">
        <v>1</v>
      </c>
      <c r="B82" s="137" t="s">
        <v>120</v>
      </c>
      <c r="C82" s="50" t="s">
        <v>444</v>
      </c>
      <c r="D82" s="43">
        <v>1093543.859</v>
      </c>
      <c r="E82" s="43">
        <v>61014.244</v>
      </c>
      <c r="F82" s="197">
        <f aca="true" t="shared" si="6" ref="F82:F88">+E82-D82</f>
        <v>-1032529.615</v>
      </c>
      <c r="G82" s="198">
        <f t="shared" si="4"/>
        <v>-0.9442050325665081</v>
      </c>
      <c r="H82" s="194"/>
      <c r="I82" s="195"/>
    </row>
    <row r="83" spans="1:9" s="5" customFormat="1" ht="56.25" hidden="1">
      <c r="A83" s="139" t="s">
        <v>121</v>
      </c>
      <c r="B83" s="140" t="s">
        <v>122</v>
      </c>
      <c r="C83" s="138" t="s">
        <v>50</v>
      </c>
      <c r="D83" s="80">
        <f aca="true" t="shared" si="7" ref="D83:E86">+D90+D97</f>
        <v>1088230905</v>
      </c>
      <c r="E83" s="80">
        <f t="shared" si="7"/>
        <v>38262838.300000004</v>
      </c>
      <c r="F83" s="91">
        <f t="shared" si="6"/>
        <v>-1049968066.7</v>
      </c>
      <c r="G83" s="92">
        <f t="shared" si="4"/>
        <v>-0.9648394121833913</v>
      </c>
      <c r="H83" s="3"/>
      <c r="I83" s="196"/>
    </row>
    <row r="84" spans="1:9" s="5" customFormat="1" ht="56.25" hidden="1">
      <c r="A84" s="139" t="s">
        <v>123</v>
      </c>
      <c r="B84" s="140" t="s">
        <v>124</v>
      </c>
      <c r="C84" s="138" t="s">
        <v>50</v>
      </c>
      <c r="D84" s="80">
        <f t="shared" si="7"/>
        <v>5312954.8</v>
      </c>
      <c r="E84" s="80">
        <f t="shared" si="7"/>
        <v>22751405.9</v>
      </c>
      <c r="F84" s="91">
        <f t="shared" si="6"/>
        <v>17438451.099999998</v>
      </c>
      <c r="G84" s="92">
        <f t="shared" si="4"/>
        <v>3.282250980189028</v>
      </c>
      <c r="H84" s="3"/>
      <c r="I84" s="196"/>
    </row>
    <row r="85" spans="1:9" s="5" customFormat="1" ht="56.25" hidden="1">
      <c r="A85" s="139" t="s">
        <v>125</v>
      </c>
      <c r="B85" s="140" t="s">
        <v>126</v>
      </c>
      <c r="C85" s="138" t="s">
        <v>50</v>
      </c>
      <c r="D85" s="80">
        <f t="shared" si="7"/>
        <v>1086855101.1000001</v>
      </c>
      <c r="E85" s="80">
        <f t="shared" si="7"/>
        <v>38262838.300000004</v>
      </c>
      <c r="F85" s="91">
        <f t="shared" si="6"/>
        <v>-1048592262.8000002</v>
      </c>
      <c r="G85" s="92">
        <f t="shared" si="4"/>
        <v>-0.964794903882519</v>
      </c>
      <c r="H85" s="3"/>
      <c r="I85" s="196"/>
    </row>
    <row r="86" spans="1:9" s="5" customFormat="1" ht="37.5" hidden="1">
      <c r="A86" s="139" t="s">
        <v>127</v>
      </c>
      <c r="B86" s="140" t="s">
        <v>128</v>
      </c>
      <c r="C86" s="138" t="s">
        <v>50</v>
      </c>
      <c r="D86" s="80">
        <f t="shared" si="7"/>
        <v>1086855.1</v>
      </c>
      <c r="E86" s="80">
        <f t="shared" si="7"/>
        <v>38263.792</v>
      </c>
      <c r="F86" s="91">
        <f t="shared" si="6"/>
        <v>-1048591.3080000002</v>
      </c>
      <c r="G86" s="92">
        <f t="shared" si="4"/>
        <v>-0.9647940263610117</v>
      </c>
      <c r="H86" s="3"/>
      <c r="I86" s="3"/>
    </row>
    <row r="87" spans="1:9" s="5" customFormat="1" ht="56.25" hidden="1">
      <c r="A87" s="139" t="s">
        <v>129</v>
      </c>
      <c r="B87" s="140" t="s">
        <v>130</v>
      </c>
      <c r="C87" s="138" t="s">
        <v>50</v>
      </c>
      <c r="D87" s="113">
        <f>IF(D86&gt;D85,D86-D85,0)</f>
        <v>0</v>
      </c>
      <c r="E87" s="113">
        <f>IF(E86&gt;E85,E86-E85,0)</f>
        <v>0</v>
      </c>
      <c r="F87" s="91">
        <f t="shared" si="6"/>
        <v>0</v>
      </c>
      <c r="G87" s="92" t="e">
        <f t="shared" si="4"/>
        <v>#DIV/0!</v>
      </c>
      <c r="H87" s="3"/>
      <c r="I87" s="196"/>
    </row>
    <row r="88" spans="1:9" s="5" customFormat="1" ht="75" hidden="1">
      <c r="A88" s="139" t="s">
        <v>131</v>
      </c>
      <c r="B88" s="140" t="s">
        <v>132</v>
      </c>
      <c r="C88" s="138" t="s">
        <v>50</v>
      </c>
      <c r="D88" s="113">
        <f>IF(D83&gt;D85,D83-D85,0)</f>
        <v>1375803.899999857</v>
      </c>
      <c r="E88" s="113">
        <f>IF(E83&gt;E85,E83-E85,0)</f>
        <v>0</v>
      </c>
      <c r="F88" s="91">
        <f t="shared" si="6"/>
        <v>-1375803.899999857</v>
      </c>
      <c r="G88" s="92">
        <f t="shared" si="4"/>
        <v>-1</v>
      </c>
      <c r="H88" s="3"/>
      <c r="I88" s="3"/>
    </row>
    <row r="89" spans="1:9" s="5" customFormat="1" ht="20.25" hidden="1">
      <c r="A89" s="55" t="s">
        <v>133</v>
      </c>
      <c r="B89" s="141" t="s">
        <v>134</v>
      </c>
      <c r="C89" s="97" t="s">
        <v>444</v>
      </c>
      <c r="D89" s="43">
        <v>3825.026</v>
      </c>
      <c r="E89" s="43">
        <v>673.013</v>
      </c>
      <c r="F89" s="197">
        <f>+E89-D89</f>
        <v>-3152.013</v>
      </c>
      <c r="G89" s="198">
        <f>+E89/D89-1</f>
        <v>-0.8240500848883119</v>
      </c>
      <c r="H89" s="3"/>
      <c r="I89" s="3"/>
    </row>
    <row r="90" spans="1:9" s="174" customFormat="1" ht="37.5" hidden="1">
      <c r="A90" s="66" t="s">
        <v>135</v>
      </c>
      <c r="B90" s="140" t="s">
        <v>136</v>
      </c>
      <c r="C90" s="142" t="s">
        <v>50</v>
      </c>
      <c r="D90" s="143">
        <v>2741534.4</v>
      </c>
      <c r="E90" s="199">
        <f>372850.8+185617.4-41030.5-8573.6-4507.4</f>
        <v>504356.69999999995</v>
      </c>
      <c r="F90" s="70">
        <f aca="true" t="shared" si="8" ref="F90:F153">+E90-D90</f>
        <v>-2237177.7</v>
      </c>
      <c r="G90" s="98">
        <f aca="true" t="shared" si="9" ref="G90:G153">+E90/D90-1</f>
        <v>-0.816031234187687</v>
      </c>
      <c r="H90" s="3"/>
      <c r="I90" s="3"/>
    </row>
    <row r="91" spans="1:9" s="174" customFormat="1" ht="37.5" hidden="1">
      <c r="A91" s="66" t="s">
        <v>137</v>
      </c>
      <c r="B91" s="140" t="s">
        <v>138</v>
      </c>
      <c r="C91" s="142" t="s">
        <v>50</v>
      </c>
      <c r="D91" s="69">
        <v>1083491.7</v>
      </c>
      <c r="E91" s="199">
        <f>67008.4+47537.3+41030.5+8573.6+4507.4</f>
        <v>168657.2</v>
      </c>
      <c r="F91" s="70">
        <f t="shared" si="8"/>
        <v>-914834.5</v>
      </c>
      <c r="G91" s="98">
        <f t="shared" si="9"/>
        <v>-0.8443391859854579</v>
      </c>
      <c r="H91" s="3"/>
      <c r="I91" s="3"/>
    </row>
    <row r="92" spans="1:9" s="174" customFormat="1" ht="37.5" hidden="1">
      <c r="A92" s="66" t="s">
        <v>139</v>
      </c>
      <c r="B92" s="140" t="s">
        <v>140</v>
      </c>
      <c r="C92" s="142" t="s">
        <v>50</v>
      </c>
      <c r="D92" s="143">
        <v>2741534.4</v>
      </c>
      <c r="E92" s="187">
        <f>364277.2+179417.4-41030.5+1692.6</f>
        <v>504356.69999999995</v>
      </c>
      <c r="F92" s="70">
        <f>+E92-D92</f>
        <v>-2237177.7</v>
      </c>
      <c r="G92" s="98">
        <f>+E92/D92-1</f>
        <v>-0.816031234187687</v>
      </c>
      <c r="H92" s="3"/>
      <c r="I92" s="3"/>
    </row>
    <row r="93" spans="1:9" s="174" customFormat="1" ht="18.75" hidden="1">
      <c r="A93" s="66" t="s">
        <v>141</v>
      </c>
      <c r="B93" s="140" t="s">
        <v>142</v>
      </c>
      <c r="C93" s="97" t="s">
        <v>444</v>
      </c>
      <c r="D93" s="69">
        <v>2741.534</v>
      </c>
      <c r="E93" s="187">
        <v>505.311</v>
      </c>
      <c r="F93" s="70">
        <f>+E93-D93</f>
        <v>-2236.223</v>
      </c>
      <c r="G93" s="98">
        <f>+E93/D93-1</f>
        <v>-0.815683117553895</v>
      </c>
      <c r="H93" s="223"/>
      <c r="I93" s="3"/>
    </row>
    <row r="94" spans="1:9" s="174" customFormat="1" ht="37.5" hidden="1">
      <c r="A94" s="66" t="s">
        <v>143</v>
      </c>
      <c r="B94" s="140" t="s">
        <v>144</v>
      </c>
      <c r="C94" s="142" t="s">
        <v>2</v>
      </c>
      <c r="D94" s="113">
        <f>IF(D93&gt;D92,D93-D92,0)</f>
        <v>0</v>
      </c>
      <c r="E94" s="113">
        <f>IF(E93&gt;E92,E93-E92,0)</f>
        <v>0</v>
      </c>
      <c r="F94" s="70">
        <f>+E94-D94</f>
        <v>0</v>
      </c>
      <c r="G94" s="98" t="e">
        <f>+E94/D94-1</f>
        <v>#DIV/0!</v>
      </c>
      <c r="H94" s="3"/>
      <c r="I94" s="3"/>
    </row>
    <row r="95" spans="1:9" s="174" customFormat="1" ht="37.5" hidden="1">
      <c r="A95" s="66" t="s">
        <v>145</v>
      </c>
      <c r="B95" s="140" t="s">
        <v>146</v>
      </c>
      <c r="C95" s="93" t="s">
        <v>2</v>
      </c>
      <c r="D95" s="113">
        <f>IF(D90&gt;D92,D90-D92,0)</f>
        <v>0</v>
      </c>
      <c r="E95" s="113">
        <f>IF(E90&gt;E92,E90-E92,0)</f>
        <v>0</v>
      </c>
      <c r="F95" s="70">
        <f>+E95-D95</f>
        <v>0</v>
      </c>
      <c r="G95" s="98" t="e">
        <f>+E95/D95-1</f>
        <v>#DIV/0!</v>
      </c>
      <c r="H95" s="3"/>
      <c r="I95" s="3"/>
    </row>
    <row r="96" spans="1:9" s="5" customFormat="1" ht="20.25" hidden="1">
      <c r="A96" s="55" t="s">
        <v>147</v>
      </c>
      <c r="B96" s="141" t="s">
        <v>148</v>
      </c>
      <c r="C96" s="97" t="s">
        <v>444</v>
      </c>
      <c r="D96" s="43">
        <v>1089718.833</v>
      </c>
      <c r="E96" s="43">
        <v>60341.23</v>
      </c>
      <c r="F96" s="197">
        <f t="shared" si="8"/>
        <v>-1029377.6030000001</v>
      </c>
      <c r="G96" s="198">
        <f t="shared" si="9"/>
        <v>-0.9446267897987224</v>
      </c>
      <c r="H96" s="3"/>
      <c r="I96" s="3"/>
    </row>
    <row r="97" spans="1:9" s="174" customFormat="1" ht="37.5" hidden="1">
      <c r="A97" s="66" t="s">
        <v>149</v>
      </c>
      <c r="B97" s="140" t="s">
        <v>150</v>
      </c>
      <c r="C97" s="142" t="s">
        <v>50</v>
      </c>
      <c r="D97" s="69">
        <v>1085489370.6</v>
      </c>
      <c r="E97" s="69">
        <v>37758481.6</v>
      </c>
      <c r="F97" s="70">
        <f t="shared" si="8"/>
        <v>-1047730888.9999999</v>
      </c>
      <c r="G97" s="98">
        <f t="shared" si="9"/>
        <v>-0.9652152451947741</v>
      </c>
      <c r="H97" s="3"/>
      <c r="I97" s="196"/>
    </row>
    <row r="98" spans="1:9" s="174" customFormat="1" ht="37.5" hidden="1">
      <c r="A98" s="66" t="s">
        <v>151</v>
      </c>
      <c r="B98" s="140" t="s">
        <v>152</v>
      </c>
      <c r="C98" s="142" t="s">
        <v>50</v>
      </c>
      <c r="D98" s="69">
        <v>4229463.1</v>
      </c>
      <c r="E98" s="69">
        <v>22582748.7</v>
      </c>
      <c r="F98" s="70">
        <f t="shared" si="8"/>
        <v>18353285.6</v>
      </c>
      <c r="G98" s="98">
        <f t="shared" si="9"/>
        <v>4.339388987694443</v>
      </c>
      <c r="H98" s="3"/>
      <c r="I98" s="196"/>
    </row>
    <row r="99" spans="1:9" s="174" customFormat="1" ht="37.5" hidden="1">
      <c r="A99" s="66" t="s">
        <v>153</v>
      </c>
      <c r="B99" s="140" t="s">
        <v>154</v>
      </c>
      <c r="C99" s="142" t="s">
        <v>50</v>
      </c>
      <c r="D99" s="69">
        <v>1084113566.7</v>
      </c>
      <c r="E99" s="69">
        <f>37279363.5+42451.5+436666.6</f>
        <v>37758481.6</v>
      </c>
      <c r="F99" s="70">
        <f t="shared" si="8"/>
        <v>-1046355085.1</v>
      </c>
      <c r="G99" s="98">
        <f t="shared" si="9"/>
        <v>-0.965171101294364</v>
      </c>
      <c r="H99" s="3"/>
      <c r="I99" s="3"/>
    </row>
    <row r="100" spans="1:9" s="174" customFormat="1" ht="18.75" hidden="1">
      <c r="A100" s="66" t="s">
        <v>155</v>
      </c>
      <c r="B100" s="140" t="s">
        <v>156</v>
      </c>
      <c r="C100" s="97" t="s">
        <v>444</v>
      </c>
      <c r="D100" s="69">
        <v>1084113.566</v>
      </c>
      <c r="E100" s="187">
        <v>37758.481</v>
      </c>
      <c r="F100" s="70">
        <f t="shared" si="8"/>
        <v>-1046355.0850000001</v>
      </c>
      <c r="G100" s="98">
        <f t="shared" si="9"/>
        <v>-0.965171101825323</v>
      </c>
      <c r="H100" s="3"/>
      <c r="I100" s="3"/>
    </row>
    <row r="101" spans="1:9" s="174" customFormat="1" ht="37.5" hidden="1">
      <c r="A101" s="66" t="s">
        <v>157</v>
      </c>
      <c r="B101" s="140" t="s">
        <v>158</v>
      </c>
      <c r="C101" s="142" t="s">
        <v>50</v>
      </c>
      <c r="D101" s="113">
        <f>IF(D100&gt;D99,D100-D99,0)</f>
        <v>0</v>
      </c>
      <c r="E101" s="113">
        <f>IF(E100&gt;E99,E100-E99,0)</f>
        <v>0</v>
      </c>
      <c r="F101" s="70">
        <f t="shared" si="8"/>
        <v>0</v>
      </c>
      <c r="G101" s="98" t="e">
        <f t="shared" si="9"/>
        <v>#DIV/0!</v>
      </c>
      <c r="H101" s="3"/>
      <c r="I101" s="196"/>
    </row>
    <row r="102" spans="1:9" s="174" customFormat="1" ht="56.25" hidden="1">
      <c r="A102" s="66" t="s">
        <v>159</v>
      </c>
      <c r="B102" s="140" t="s">
        <v>160</v>
      </c>
      <c r="C102" s="142" t="s">
        <v>50</v>
      </c>
      <c r="D102" s="113">
        <f>IF(D97&gt;D99,D97-D99,0)</f>
        <v>1375803.899999857</v>
      </c>
      <c r="E102" s="113">
        <f>IF(E97&gt;E99,E97-E99,0)</f>
        <v>0</v>
      </c>
      <c r="F102" s="70">
        <f t="shared" si="8"/>
        <v>-1375803.899999857</v>
      </c>
      <c r="G102" s="98">
        <f t="shared" si="9"/>
        <v>-1</v>
      </c>
      <c r="H102" s="3"/>
      <c r="I102" s="196"/>
    </row>
    <row r="103" spans="1:9" s="202" customFormat="1" ht="60.75" hidden="1">
      <c r="A103" s="54" t="s">
        <v>161</v>
      </c>
      <c r="B103" s="144" t="s">
        <v>162</v>
      </c>
      <c r="C103" s="97" t="s">
        <v>444</v>
      </c>
      <c r="D103" s="200">
        <v>1086855.101</v>
      </c>
      <c r="E103" s="200">
        <v>38263.793</v>
      </c>
      <c r="F103" s="200">
        <f t="shared" si="8"/>
        <v>-1048591.308</v>
      </c>
      <c r="G103" s="201">
        <f t="shared" si="9"/>
        <v>-0.9647940254733184</v>
      </c>
      <c r="H103" s="3"/>
      <c r="I103" s="196"/>
    </row>
    <row r="104" spans="1:9" s="5" customFormat="1" ht="20.25" hidden="1">
      <c r="A104" s="90" t="s">
        <v>163</v>
      </c>
      <c r="B104" s="148" t="s">
        <v>164</v>
      </c>
      <c r="C104" s="97" t="s">
        <v>444</v>
      </c>
      <c r="D104" s="146">
        <v>2741.534</v>
      </c>
      <c r="E104" s="146">
        <v>505.311</v>
      </c>
      <c r="F104" s="80">
        <f t="shared" si="8"/>
        <v>-2236.223</v>
      </c>
      <c r="G104" s="81">
        <f t="shared" si="9"/>
        <v>-0.815683117553895</v>
      </c>
      <c r="H104" s="3"/>
      <c r="I104" s="3"/>
    </row>
    <row r="105" spans="1:9" s="203" customFormat="1" ht="37.5" hidden="1">
      <c r="A105" s="90" t="s">
        <v>165</v>
      </c>
      <c r="B105" s="140" t="s">
        <v>166</v>
      </c>
      <c r="C105" s="97" t="s">
        <v>444</v>
      </c>
      <c r="D105" s="69">
        <v>432.745</v>
      </c>
      <c r="E105" s="69">
        <v>499.93</v>
      </c>
      <c r="F105" s="149">
        <f t="shared" si="8"/>
        <v>67.185</v>
      </c>
      <c r="G105" s="150">
        <f t="shared" si="9"/>
        <v>0.15525309362326545</v>
      </c>
      <c r="H105" s="3"/>
      <c r="I105" s="196"/>
    </row>
    <row r="106" spans="1:9" s="203" customFormat="1" ht="37.5" hidden="1">
      <c r="A106" s="90" t="s">
        <v>165</v>
      </c>
      <c r="B106" s="140" t="s">
        <v>167</v>
      </c>
      <c r="C106" s="97" t="s">
        <v>444</v>
      </c>
      <c r="D106" s="69">
        <v>2308.789</v>
      </c>
      <c r="E106" s="69">
        <v>5.381</v>
      </c>
      <c r="F106" s="149">
        <f t="shared" si="8"/>
        <v>-2303.4080000000004</v>
      </c>
      <c r="G106" s="150">
        <f t="shared" si="9"/>
        <v>-0.9976693409402072</v>
      </c>
      <c r="H106" s="3"/>
      <c r="I106" s="196"/>
    </row>
    <row r="107" spans="1:9" s="5" customFormat="1" ht="20.25" hidden="1">
      <c r="A107" s="90" t="s">
        <v>168</v>
      </c>
      <c r="B107" s="148" t="s">
        <v>169</v>
      </c>
      <c r="C107" s="97" t="s">
        <v>444</v>
      </c>
      <c r="D107" s="146">
        <v>1084113.566</v>
      </c>
      <c r="E107" s="146">
        <v>37758.481</v>
      </c>
      <c r="F107" s="80">
        <f t="shared" si="8"/>
        <v>-1046355.0850000001</v>
      </c>
      <c r="G107" s="81">
        <f t="shared" si="9"/>
        <v>-0.965171101825323</v>
      </c>
      <c r="H107" s="3"/>
      <c r="I107" s="3"/>
    </row>
    <row r="108" spans="1:9" s="5" customFormat="1" ht="75" hidden="1">
      <c r="A108" s="90" t="s">
        <v>170</v>
      </c>
      <c r="B108" s="140" t="s">
        <v>171</v>
      </c>
      <c r="C108" s="97" t="s">
        <v>444</v>
      </c>
      <c r="D108" s="69">
        <v>117.759</v>
      </c>
      <c r="E108" s="69">
        <v>128.675</v>
      </c>
      <c r="F108" s="73">
        <f t="shared" si="8"/>
        <v>10.916000000000011</v>
      </c>
      <c r="G108" s="59">
        <f t="shared" si="9"/>
        <v>0.0926977980451602</v>
      </c>
      <c r="H108" s="3"/>
      <c r="I108" s="196"/>
    </row>
    <row r="109" spans="1:9" s="5" customFormat="1" ht="37.5" hidden="1">
      <c r="A109" s="90" t="s">
        <v>172</v>
      </c>
      <c r="B109" s="140" t="s">
        <v>173</v>
      </c>
      <c r="C109" s="97" t="s">
        <v>444</v>
      </c>
      <c r="D109" s="69">
        <v>1083995.807</v>
      </c>
      <c r="E109" s="69">
        <v>37629.805</v>
      </c>
      <c r="F109" s="73">
        <f t="shared" si="8"/>
        <v>-1046366.002</v>
      </c>
      <c r="G109" s="59">
        <f t="shared" si="9"/>
        <v>-0.9652860234725982</v>
      </c>
      <c r="H109" s="3"/>
      <c r="I109" s="196"/>
    </row>
    <row r="110" spans="1:9" s="5" customFormat="1" ht="40.5" hidden="1">
      <c r="A110" s="54" t="s">
        <v>174</v>
      </c>
      <c r="B110" s="151" t="s">
        <v>175</v>
      </c>
      <c r="C110" s="152" t="s">
        <v>50</v>
      </c>
      <c r="D110" s="43">
        <f>D82-D103</f>
        <v>6688.757999999914</v>
      </c>
      <c r="E110" s="43">
        <f>E82-E103</f>
        <v>22750.451</v>
      </c>
      <c r="F110" s="204">
        <f t="shared" si="8"/>
        <v>16061.693000000087</v>
      </c>
      <c r="G110" s="205">
        <f t="shared" si="9"/>
        <v>2.401296772883739</v>
      </c>
      <c r="H110" s="3"/>
      <c r="I110" s="3"/>
    </row>
    <row r="111" spans="1:12" s="5" customFormat="1" ht="87" customHeight="1" hidden="1">
      <c r="A111" s="54" t="s">
        <v>176</v>
      </c>
      <c r="B111" s="153" t="s">
        <v>177</v>
      </c>
      <c r="C111" s="152" t="s">
        <v>50</v>
      </c>
      <c r="D111" s="69">
        <v>0</v>
      </c>
      <c r="E111" s="69">
        <v>0</v>
      </c>
      <c r="F111" s="57">
        <f t="shared" si="8"/>
        <v>0</v>
      </c>
      <c r="G111" s="58" t="e">
        <f t="shared" si="9"/>
        <v>#DIV/0!</v>
      </c>
      <c r="H111" s="3"/>
      <c r="I111" s="3"/>
      <c r="L111" s="206"/>
    </row>
    <row r="112" spans="1:9" s="5" customFormat="1" ht="60.75" hidden="1">
      <c r="A112" s="54" t="s">
        <v>178</v>
      </c>
      <c r="B112" s="153" t="s">
        <v>179</v>
      </c>
      <c r="C112" s="154" t="s">
        <v>50</v>
      </c>
      <c r="D112" s="69">
        <v>14761963.8</v>
      </c>
      <c r="E112" s="207">
        <v>13978803.124999998</v>
      </c>
      <c r="F112" s="145">
        <f t="shared" si="8"/>
        <v>-783160.6750000026</v>
      </c>
      <c r="G112" s="155">
        <f t="shared" si="9"/>
        <v>-0.05305260774315157</v>
      </c>
      <c r="H112" s="3"/>
      <c r="I112" s="3"/>
    </row>
    <row r="113" spans="1:9" s="5" customFormat="1" ht="101.25" hidden="1">
      <c r="A113" s="54" t="s">
        <v>180</v>
      </c>
      <c r="B113" s="153" t="s">
        <v>181</v>
      </c>
      <c r="C113" s="154" t="s">
        <v>50</v>
      </c>
      <c r="D113" s="69">
        <v>239339143</v>
      </c>
      <c r="E113" s="69">
        <v>1335959669.2</v>
      </c>
      <c r="F113" s="145">
        <f t="shared" si="8"/>
        <v>1096620526.2</v>
      </c>
      <c r="G113" s="155">
        <f t="shared" si="9"/>
        <v>4.581868692493814</v>
      </c>
      <c r="H113" s="3"/>
      <c r="I113" s="3"/>
    </row>
    <row r="114" spans="1:9" s="171" customFormat="1" ht="101.25">
      <c r="A114" s="131" t="s">
        <v>182</v>
      </c>
      <c r="B114" s="56" t="s">
        <v>183</v>
      </c>
      <c r="C114" s="156" t="s">
        <v>6</v>
      </c>
      <c r="D114" s="43">
        <f>+D115+D116</f>
        <v>230</v>
      </c>
      <c r="E114" s="43">
        <f>+E115+E116</f>
        <v>175</v>
      </c>
      <c r="F114" s="204">
        <f t="shared" si="8"/>
        <v>-55</v>
      </c>
      <c r="G114" s="205">
        <f t="shared" si="9"/>
        <v>-0.23913043478260865</v>
      </c>
      <c r="H114" s="194"/>
      <c r="I114" s="194"/>
    </row>
    <row r="115" spans="1:9" s="5" customFormat="1" ht="56.25" hidden="1">
      <c r="A115" s="88" t="s">
        <v>184</v>
      </c>
      <c r="B115" s="157" t="s">
        <v>185</v>
      </c>
      <c r="C115" s="93" t="s">
        <v>6</v>
      </c>
      <c r="D115" s="80">
        <f aca="true" t="shared" si="10" ref="D115:E118">+D122+D129</f>
        <v>140</v>
      </c>
      <c r="E115" s="80">
        <f t="shared" si="10"/>
        <v>136</v>
      </c>
      <c r="F115" s="146">
        <f>+E115-D115</f>
        <v>-4</v>
      </c>
      <c r="G115" s="147">
        <f>+E115/D115-1</f>
        <v>-0.02857142857142858</v>
      </c>
      <c r="H115" s="3"/>
      <c r="I115" s="3"/>
    </row>
    <row r="116" spans="1:9" s="5" customFormat="1" ht="56.25" hidden="1">
      <c r="A116" s="88" t="s">
        <v>186</v>
      </c>
      <c r="B116" s="157" t="s">
        <v>187</v>
      </c>
      <c r="C116" s="93" t="s">
        <v>6</v>
      </c>
      <c r="D116" s="80">
        <f t="shared" si="10"/>
        <v>90</v>
      </c>
      <c r="E116" s="80">
        <f t="shared" si="10"/>
        <v>39</v>
      </c>
      <c r="F116" s="146">
        <f>+E116-D116</f>
        <v>-51</v>
      </c>
      <c r="G116" s="147">
        <f>+E116/D116-1</f>
        <v>-0.5666666666666667</v>
      </c>
      <c r="H116" s="3"/>
      <c r="I116" s="3"/>
    </row>
    <row r="117" spans="1:9" s="5" customFormat="1" ht="56.25" hidden="1">
      <c r="A117" s="88" t="s">
        <v>188</v>
      </c>
      <c r="B117" s="157" t="s">
        <v>189</v>
      </c>
      <c r="C117" s="93" t="s">
        <v>6</v>
      </c>
      <c r="D117" s="80">
        <f t="shared" si="10"/>
        <v>139</v>
      </c>
      <c r="E117" s="80">
        <f t="shared" si="10"/>
        <v>136</v>
      </c>
      <c r="F117" s="146">
        <f t="shared" si="8"/>
        <v>-3</v>
      </c>
      <c r="G117" s="147">
        <f t="shared" si="9"/>
        <v>-0.021582733812949617</v>
      </c>
      <c r="H117" s="3"/>
      <c r="I117" s="3"/>
    </row>
    <row r="118" spans="1:9" s="5" customFormat="1" ht="37.5" hidden="1">
      <c r="A118" s="88" t="s">
        <v>190</v>
      </c>
      <c r="B118" s="157" t="s">
        <v>191</v>
      </c>
      <c r="C118" s="93" t="s">
        <v>6</v>
      </c>
      <c r="D118" s="80">
        <f t="shared" si="10"/>
        <v>140</v>
      </c>
      <c r="E118" s="80">
        <f t="shared" si="10"/>
        <v>137</v>
      </c>
      <c r="F118" s="146">
        <f t="shared" si="8"/>
        <v>-3</v>
      </c>
      <c r="G118" s="147">
        <f t="shared" si="9"/>
        <v>-0.021428571428571463</v>
      </c>
      <c r="H118" s="3"/>
      <c r="I118" s="3"/>
    </row>
    <row r="119" spans="1:9" s="5" customFormat="1" ht="56.25" hidden="1">
      <c r="A119" s="88" t="s">
        <v>192</v>
      </c>
      <c r="B119" s="157" t="s">
        <v>193</v>
      </c>
      <c r="C119" s="93" t="s">
        <v>6</v>
      </c>
      <c r="D119" s="113">
        <f>IF(D118&gt;D117,D118-D117,0)</f>
        <v>1</v>
      </c>
      <c r="E119" s="113">
        <f>IF(E118&gt;E117,E118-E117,0)</f>
        <v>1</v>
      </c>
      <c r="F119" s="146">
        <f t="shared" si="8"/>
        <v>0</v>
      </c>
      <c r="G119" s="147">
        <f t="shared" si="9"/>
        <v>0</v>
      </c>
      <c r="H119" s="3"/>
      <c r="I119" s="3"/>
    </row>
    <row r="120" spans="1:7" s="5" customFormat="1" ht="56.25" hidden="1">
      <c r="A120" s="88" t="s">
        <v>194</v>
      </c>
      <c r="B120" s="157" t="s">
        <v>195</v>
      </c>
      <c r="C120" s="93" t="s">
        <v>6</v>
      </c>
      <c r="D120" s="146">
        <f>IF(D115&gt;D117,D115-D117,0)</f>
        <v>1</v>
      </c>
      <c r="E120" s="146">
        <f>IF(E115&gt;E117,E115-E117,0)</f>
        <v>0</v>
      </c>
      <c r="F120" s="146">
        <f t="shared" si="8"/>
        <v>-1</v>
      </c>
      <c r="G120" s="147">
        <f t="shared" si="9"/>
        <v>-1</v>
      </c>
    </row>
    <row r="121" spans="1:9" s="5" customFormat="1" ht="81" hidden="1">
      <c r="A121" s="54" t="s">
        <v>196</v>
      </c>
      <c r="B121" s="153" t="s">
        <v>197</v>
      </c>
      <c r="C121" s="154" t="s">
        <v>6</v>
      </c>
      <c r="D121" s="43">
        <f>+D122+D123</f>
        <v>37</v>
      </c>
      <c r="E121" s="43">
        <f>+E122+E123</f>
        <v>48</v>
      </c>
      <c r="F121" s="204">
        <f t="shared" si="8"/>
        <v>11</v>
      </c>
      <c r="G121" s="205">
        <f t="shared" si="9"/>
        <v>0.29729729729729737</v>
      </c>
      <c r="H121" s="3"/>
      <c r="I121" s="3"/>
    </row>
    <row r="122" spans="1:9" s="1" customFormat="1" ht="37.5" hidden="1">
      <c r="A122" s="88" t="s">
        <v>198</v>
      </c>
      <c r="B122" s="157" t="s">
        <v>199</v>
      </c>
      <c r="C122" s="93" t="s">
        <v>6</v>
      </c>
      <c r="D122" s="69">
        <v>25</v>
      </c>
      <c r="E122" s="69">
        <v>43</v>
      </c>
      <c r="F122" s="80">
        <f t="shared" si="8"/>
        <v>18</v>
      </c>
      <c r="G122" s="81">
        <f t="shared" si="9"/>
        <v>0.72</v>
      </c>
      <c r="H122" s="3"/>
      <c r="I122" s="3"/>
    </row>
    <row r="123" spans="1:9" s="1" customFormat="1" ht="37.5" hidden="1">
      <c r="A123" s="88" t="s">
        <v>200</v>
      </c>
      <c r="B123" s="157" t="s">
        <v>201</v>
      </c>
      <c r="C123" s="93" t="s">
        <v>6</v>
      </c>
      <c r="D123" s="69">
        <v>12</v>
      </c>
      <c r="E123" s="69">
        <v>5</v>
      </c>
      <c r="F123" s="80">
        <f t="shared" si="8"/>
        <v>-7</v>
      </c>
      <c r="G123" s="81">
        <f t="shared" si="9"/>
        <v>-0.5833333333333333</v>
      </c>
      <c r="H123" s="3"/>
      <c r="I123" s="3"/>
    </row>
    <row r="124" spans="1:9" s="1" customFormat="1" ht="37.5" hidden="1">
      <c r="A124" s="88" t="s">
        <v>202</v>
      </c>
      <c r="B124" s="157" t="s">
        <v>203</v>
      </c>
      <c r="C124" s="93" t="s">
        <v>6</v>
      </c>
      <c r="D124" s="69">
        <v>25</v>
      </c>
      <c r="E124" s="69">
        <v>43</v>
      </c>
      <c r="F124" s="80">
        <f t="shared" si="8"/>
        <v>18</v>
      </c>
      <c r="G124" s="81">
        <f t="shared" si="9"/>
        <v>0.72</v>
      </c>
      <c r="H124" s="3"/>
      <c r="I124" s="3"/>
    </row>
    <row r="125" spans="1:9" s="1" customFormat="1" ht="37.5" hidden="1">
      <c r="A125" s="88" t="s">
        <v>204</v>
      </c>
      <c r="B125" s="157" t="s">
        <v>205</v>
      </c>
      <c r="C125" s="93" t="s">
        <v>6</v>
      </c>
      <c r="D125" s="69">
        <v>25</v>
      </c>
      <c r="E125" s="69">
        <v>43</v>
      </c>
      <c r="F125" s="80">
        <f t="shared" si="8"/>
        <v>18</v>
      </c>
      <c r="G125" s="81">
        <f t="shared" si="9"/>
        <v>0.72</v>
      </c>
      <c r="H125" s="3"/>
      <c r="I125" s="3"/>
    </row>
    <row r="126" spans="1:9" s="1" customFormat="1" ht="37.5" hidden="1">
      <c r="A126" s="88" t="s">
        <v>206</v>
      </c>
      <c r="B126" s="157" t="s">
        <v>207</v>
      </c>
      <c r="C126" s="93" t="s">
        <v>6</v>
      </c>
      <c r="D126" s="113">
        <f>IF(D125&gt;D124,D125-D124,0)</f>
        <v>0</v>
      </c>
      <c r="E126" s="113">
        <f>IF(E125&gt;E124,E125-E124,0)</f>
        <v>0</v>
      </c>
      <c r="F126" s="80">
        <f t="shared" si="8"/>
        <v>0</v>
      </c>
      <c r="G126" s="81" t="e">
        <f t="shared" si="9"/>
        <v>#DIV/0!</v>
      </c>
      <c r="H126" s="3"/>
      <c r="I126" s="3"/>
    </row>
    <row r="127" spans="1:9" s="1" customFormat="1" ht="37.5" hidden="1">
      <c r="A127" s="88" t="s">
        <v>208</v>
      </c>
      <c r="B127" s="157" t="s">
        <v>209</v>
      </c>
      <c r="C127" s="93" t="s">
        <v>6</v>
      </c>
      <c r="D127" s="145">
        <f>IF(D122&gt;D124,D122-D124,0)</f>
        <v>0</v>
      </c>
      <c r="E127" s="145">
        <f>IF(E122&gt;E124,E122-E124,0)</f>
        <v>0</v>
      </c>
      <c r="F127" s="80">
        <f t="shared" si="8"/>
        <v>0</v>
      </c>
      <c r="G127" s="81" t="e">
        <f t="shared" si="9"/>
        <v>#DIV/0!</v>
      </c>
      <c r="H127" s="3"/>
      <c r="I127" s="3"/>
    </row>
    <row r="128" spans="1:9" s="5" customFormat="1" ht="60.75" hidden="1">
      <c r="A128" s="55" t="s">
        <v>210</v>
      </c>
      <c r="B128" s="153" t="s">
        <v>211</v>
      </c>
      <c r="C128" s="154" t="s">
        <v>6</v>
      </c>
      <c r="D128" s="43">
        <f>+D129+D130</f>
        <v>193</v>
      </c>
      <c r="E128" s="43">
        <f>+E129+E130</f>
        <v>127</v>
      </c>
      <c r="F128" s="43">
        <f t="shared" si="8"/>
        <v>-66</v>
      </c>
      <c r="G128" s="44">
        <f t="shared" si="9"/>
        <v>-0.34196891191709844</v>
      </c>
      <c r="H128" s="3"/>
      <c r="I128" s="3"/>
    </row>
    <row r="129" spans="1:9" s="1" customFormat="1" ht="37.5" hidden="1">
      <c r="A129" s="88" t="s">
        <v>212</v>
      </c>
      <c r="B129" s="157" t="s">
        <v>213</v>
      </c>
      <c r="C129" s="93" t="s">
        <v>6</v>
      </c>
      <c r="D129" s="69">
        <v>115</v>
      </c>
      <c r="E129" s="69">
        <v>93</v>
      </c>
      <c r="F129" s="146">
        <f t="shared" si="8"/>
        <v>-22</v>
      </c>
      <c r="G129" s="147">
        <f t="shared" si="9"/>
        <v>-0.19130434782608696</v>
      </c>
      <c r="H129" s="3"/>
      <c r="I129" s="3"/>
    </row>
    <row r="130" spans="1:9" s="1" customFormat="1" ht="37.5" hidden="1">
      <c r="A130" s="88" t="s">
        <v>214</v>
      </c>
      <c r="B130" s="157" t="s">
        <v>215</v>
      </c>
      <c r="C130" s="93" t="s">
        <v>6</v>
      </c>
      <c r="D130" s="69">
        <v>78</v>
      </c>
      <c r="E130" s="69">
        <v>34</v>
      </c>
      <c r="F130" s="146">
        <f t="shared" si="8"/>
        <v>-44</v>
      </c>
      <c r="G130" s="147">
        <f t="shared" si="9"/>
        <v>-0.5641025641025641</v>
      </c>
      <c r="H130" s="3"/>
      <c r="I130" s="3"/>
    </row>
    <row r="131" spans="1:9" s="1" customFormat="1" ht="37.5" hidden="1">
      <c r="A131" s="88" t="s">
        <v>216</v>
      </c>
      <c r="B131" s="157" t="s">
        <v>217</v>
      </c>
      <c r="C131" s="93" t="s">
        <v>6</v>
      </c>
      <c r="D131" s="69">
        <v>114</v>
      </c>
      <c r="E131" s="69">
        <f>91+1+1</f>
        <v>93</v>
      </c>
      <c r="F131" s="146">
        <f t="shared" si="8"/>
        <v>-21</v>
      </c>
      <c r="G131" s="147">
        <f t="shared" si="9"/>
        <v>-0.1842105263157895</v>
      </c>
      <c r="H131" s="3" t="str">
        <f>IF(D131&gt;D129,"Ошибка","OK")</f>
        <v>OK</v>
      </c>
      <c r="I131" s="3" t="str">
        <f>IF(E131&gt;E129,"Ошибка","OK")</f>
        <v>OK</v>
      </c>
    </row>
    <row r="132" spans="1:9" s="1" customFormat="1" ht="34.5" customHeight="1" hidden="1">
      <c r="A132" s="88" t="s">
        <v>218</v>
      </c>
      <c r="B132" s="157" t="s">
        <v>219</v>
      </c>
      <c r="C132" s="93" t="s">
        <v>6</v>
      </c>
      <c r="D132" s="69">
        <v>115</v>
      </c>
      <c r="E132" s="69">
        <f>92+1+1</f>
        <v>94</v>
      </c>
      <c r="F132" s="146">
        <f t="shared" si="8"/>
        <v>-21</v>
      </c>
      <c r="G132" s="147">
        <f t="shared" si="9"/>
        <v>-0.18260869565217386</v>
      </c>
      <c r="H132" s="3" t="str">
        <f>IF(D132&gt;D128,"Ошибка","OK")</f>
        <v>OK</v>
      </c>
      <c r="I132" s="3" t="str">
        <f>IF(E132&gt;E128,"Ошибка","OK")</f>
        <v>OK</v>
      </c>
    </row>
    <row r="133" spans="1:9" s="1" customFormat="1" ht="37.5" hidden="1">
      <c r="A133" s="88" t="s">
        <v>220</v>
      </c>
      <c r="B133" s="157" t="s">
        <v>221</v>
      </c>
      <c r="C133" s="93" t="s">
        <v>6</v>
      </c>
      <c r="D133" s="113">
        <f>IF(D132&gt;D131,D132-D131,0)</f>
        <v>1</v>
      </c>
      <c r="E133" s="113">
        <f>IF(E132&gt;E131,E132-E131,0)</f>
        <v>1</v>
      </c>
      <c r="F133" s="146">
        <f t="shared" si="8"/>
        <v>0</v>
      </c>
      <c r="G133" s="147">
        <f t="shared" si="9"/>
        <v>0</v>
      </c>
      <c r="H133" s="3" t="str">
        <f>IF(D133+D131=D132,"OK","Ошибка")</f>
        <v>OK</v>
      </c>
      <c r="I133" s="3" t="str">
        <f>IF(E133+E131=E132,"OK","Ошибка")</f>
        <v>OK</v>
      </c>
    </row>
    <row r="134" spans="1:9" s="1" customFormat="1" ht="37.5" hidden="1">
      <c r="A134" s="88" t="s">
        <v>222</v>
      </c>
      <c r="B134" s="157" t="s">
        <v>223</v>
      </c>
      <c r="C134" s="93" t="s">
        <v>6</v>
      </c>
      <c r="D134" s="145">
        <f>IF(D129&gt;D131,D129-D131,0)</f>
        <v>1</v>
      </c>
      <c r="E134" s="145">
        <f>IF(E129&gt;E131,E129-E131,0)</f>
        <v>0</v>
      </c>
      <c r="F134" s="146">
        <f t="shared" si="8"/>
        <v>-1</v>
      </c>
      <c r="G134" s="147">
        <f t="shared" si="9"/>
        <v>-1</v>
      </c>
      <c r="H134" s="3"/>
      <c r="I134" s="3"/>
    </row>
    <row r="135" spans="1:9" s="5" customFormat="1" ht="150" customHeight="1">
      <c r="A135" s="37" t="s">
        <v>224</v>
      </c>
      <c r="B135" s="56" t="s">
        <v>225</v>
      </c>
      <c r="C135" s="158" t="s">
        <v>6</v>
      </c>
      <c r="D135" s="159">
        <f>D136+D137+D138+D139+D140+D142+D141</f>
        <v>14</v>
      </c>
      <c r="E135" s="159">
        <f>E136+E137+E138+E139+E140+E142+E141</f>
        <v>8</v>
      </c>
      <c r="F135" s="43">
        <f t="shared" si="8"/>
        <v>-6</v>
      </c>
      <c r="G135" s="44">
        <f t="shared" si="9"/>
        <v>-0.4285714285714286</v>
      </c>
      <c r="H135" s="3"/>
      <c r="I135" s="3"/>
    </row>
    <row r="136" spans="1:9" s="1" customFormat="1" ht="93.75" hidden="1">
      <c r="A136" s="66" t="s">
        <v>226</v>
      </c>
      <c r="B136" s="157" t="s">
        <v>227</v>
      </c>
      <c r="C136" s="107" t="s">
        <v>6</v>
      </c>
      <c r="D136" s="69">
        <v>2</v>
      </c>
      <c r="E136" s="69">
        <v>6</v>
      </c>
      <c r="F136" s="80">
        <f t="shared" si="8"/>
        <v>4</v>
      </c>
      <c r="G136" s="81">
        <f t="shared" si="9"/>
        <v>2</v>
      </c>
      <c r="H136" s="184"/>
      <c r="I136" s="3"/>
    </row>
    <row r="137" spans="1:9" s="1" customFormat="1" ht="56.25" hidden="1">
      <c r="A137" s="66" t="s">
        <v>228</v>
      </c>
      <c r="B137" s="157" t="s">
        <v>229</v>
      </c>
      <c r="C137" s="107" t="s">
        <v>6</v>
      </c>
      <c r="D137" s="69">
        <v>0</v>
      </c>
      <c r="E137" s="69">
        <v>0</v>
      </c>
      <c r="F137" s="80">
        <f t="shared" si="8"/>
        <v>0</v>
      </c>
      <c r="G137" s="81" t="e">
        <f t="shared" si="9"/>
        <v>#DIV/0!</v>
      </c>
      <c r="H137" s="184"/>
      <c r="I137" s="3"/>
    </row>
    <row r="138" spans="1:9" s="167" customFormat="1" ht="37.5" hidden="1">
      <c r="A138" s="88" t="s">
        <v>230</v>
      </c>
      <c r="B138" s="157" t="s">
        <v>231</v>
      </c>
      <c r="C138" s="93" t="s">
        <v>6</v>
      </c>
      <c r="D138" s="69">
        <v>0</v>
      </c>
      <c r="E138" s="69">
        <v>0</v>
      </c>
      <c r="F138" s="146">
        <f t="shared" si="8"/>
        <v>0</v>
      </c>
      <c r="G138" s="147" t="e">
        <f t="shared" si="9"/>
        <v>#DIV/0!</v>
      </c>
      <c r="H138" s="208"/>
      <c r="I138" s="3"/>
    </row>
    <row r="139" spans="1:9" s="1" customFormat="1" ht="56.25" hidden="1">
      <c r="A139" s="66" t="s">
        <v>232</v>
      </c>
      <c r="B139" s="157" t="s">
        <v>233</v>
      </c>
      <c r="C139" s="93" t="s">
        <v>6</v>
      </c>
      <c r="D139" s="69">
        <v>2</v>
      </c>
      <c r="E139" s="69">
        <v>0</v>
      </c>
      <c r="F139" s="146">
        <f t="shared" si="8"/>
        <v>-2</v>
      </c>
      <c r="G139" s="147">
        <f t="shared" si="9"/>
        <v>-1</v>
      </c>
      <c r="H139" s="185"/>
      <c r="I139" s="3"/>
    </row>
    <row r="140" spans="1:9" s="1" customFormat="1" ht="56.25" hidden="1">
      <c r="A140" s="66" t="s">
        <v>234</v>
      </c>
      <c r="B140" s="157" t="s">
        <v>235</v>
      </c>
      <c r="C140" s="93" t="s">
        <v>6</v>
      </c>
      <c r="D140" s="69">
        <v>0</v>
      </c>
      <c r="E140" s="69">
        <v>0</v>
      </c>
      <c r="F140" s="146">
        <f t="shared" si="8"/>
        <v>0</v>
      </c>
      <c r="G140" s="147" t="e">
        <f t="shared" si="9"/>
        <v>#DIV/0!</v>
      </c>
      <c r="H140" s="185"/>
      <c r="I140" s="3"/>
    </row>
    <row r="141" spans="1:9" s="1" customFormat="1" ht="75" hidden="1">
      <c r="A141" s="66" t="s">
        <v>236</v>
      </c>
      <c r="B141" s="157" t="s">
        <v>237</v>
      </c>
      <c r="C141" s="93" t="s">
        <v>6</v>
      </c>
      <c r="D141" s="69">
        <v>0</v>
      </c>
      <c r="E141" s="69">
        <v>0</v>
      </c>
      <c r="F141" s="146">
        <f t="shared" si="8"/>
        <v>0</v>
      </c>
      <c r="G141" s="147" t="e">
        <f t="shared" si="9"/>
        <v>#DIV/0!</v>
      </c>
      <c r="H141" s="185"/>
      <c r="I141" s="3"/>
    </row>
    <row r="142" spans="1:9" s="1" customFormat="1" ht="37.5" hidden="1">
      <c r="A142" s="66" t="s">
        <v>238</v>
      </c>
      <c r="B142" s="157" t="s">
        <v>239</v>
      </c>
      <c r="C142" s="107" t="s">
        <v>6</v>
      </c>
      <c r="D142" s="69">
        <v>10</v>
      </c>
      <c r="E142" s="69">
        <v>2</v>
      </c>
      <c r="F142" s="80">
        <f t="shared" si="8"/>
        <v>-8</v>
      </c>
      <c r="G142" s="81">
        <f t="shared" si="9"/>
        <v>-0.8</v>
      </c>
      <c r="H142" s="185"/>
      <c r="I142" s="3"/>
    </row>
    <row r="143" spans="1:9" s="202" customFormat="1" ht="180.75" customHeight="1">
      <c r="A143" s="131" t="s">
        <v>240</v>
      </c>
      <c r="B143" s="56" t="s">
        <v>241</v>
      </c>
      <c r="C143" s="156" t="s">
        <v>6</v>
      </c>
      <c r="D143" s="159">
        <f>+D144+D145+D146</f>
        <v>134</v>
      </c>
      <c r="E143" s="159">
        <f>+E144+E145+E146</f>
        <v>113</v>
      </c>
      <c r="F143" s="160">
        <f t="shared" si="8"/>
        <v>-21</v>
      </c>
      <c r="G143" s="161">
        <f t="shared" si="9"/>
        <v>-0.15671641791044777</v>
      </c>
      <c r="H143" s="3"/>
      <c r="I143" s="3"/>
    </row>
    <row r="144" spans="1:9" s="1" customFormat="1" ht="75" hidden="1">
      <c r="A144" s="66" t="s">
        <v>242</v>
      </c>
      <c r="B144" s="157" t="s">
        <v>243</v>
      </c>
      <c r="C144" s="90" t="s">
        <v>6</v>
      </c>
      <c r="D144" s="182">
        <f>+D149+D154</f>
        <v>100</v>
      </c>
      <c r="E144" s="182">
        <f>+E149+E154</f>
        <v>101</v>
      </c>
      <c r="F144" s="73">
        <f t="shared" si="8"/>
        <v>1</v>
      </c>
      <c r="G144" s="59">
        <f t="shared" si="9"/>
        <v>0.010000000000000009</v>
      </c>
      <c r="H144" s="3"/>
      <c r="I144" s="3"/>
    </row>
    <row r="145" spans="1:9" s="1" customFormat="1" ht="75" hidden="1">
      <c r="A145" s="66" t="s">
        <v>244</v>
      </c>
      <c r="B145" s="157" t="s">
        <v>245</v>
      </c>
      <c r="C145" s="90" t="s">
        <v>6</v>
      </c>
      <c r="D145" s="182">
        <f>D150+D155</f>
        <v>9</v>
      </c>
      <c r="E145" s="182">
        <f>E150+E155</f>
        <v>9</v>
      </c>
      <c r="F145" s="73">
        <f t="shared" si="8"/>
        <v>0</v>
      </c>
      <c r="G145" s="59">
        <f t="shared" si="9"/>
        <v>0</v>
      </c>
      <c r="H145" s="3"/>
      <c r="I145" s="3"/>
    </row>
    <row r="146" spans="1:9" s="1" customFormat="1" ht="75" hidden="1">
      <c r="A146" s="66" t="s">
        <v>246</v>
      </c>
      <c r="B146" s="157" t="s">
        <v>247</v>
      </c>
      <c r="C146" s="90" t="s">
        <v>6</v>
      </c>
      <c r="D146" s="182">
        <f>+D151+D156</f>
        <v>25</v>
      </c>
      <c r="E146" s="182">
        <f>+E151+E156</f>
        <v>3</v>
      </c>
      <c r="F146" s="73">
        <f t="shared" si="8"/>
        <v>-22</v>
      </c>
      <c r="G146" s="59">
        <f t="shared" si="9"/>
        <v>-0.88</v>
      </c>
      <c r="H146" s="3"/>
      <c r="I146" s="3"/>
    </row>
    <row r="147" spans="1:9" s="1" customFormat="1" ht="112.5" hidden="1">
      <c r="A147" s="66" t="s">
        <v>248</v>
      </c>
      <c r="B147" s="157" t="s">
        <v>249</v>
      </c>
      <c r="C147" s="97" t="s">
        <v>444</v>
      </c>
      <c r="D147" s="182">
        <v>12.149</v>
      </c>
      <c r="E147" s="182">
        <v>11.998</v>
      </c>
      <c r="F147" s="73">
        <f t="shared" si="8"/>
        <v>-0.1509999999999998</v>
      </c>
      <c r="G147" s="59">
        <f t="shared" si="9"/>
        <v>-0.012429006502592821</v>
      </c>
      <c r="H147" s="3"/>
      <c r="I147" s="3"/>
    </row>
    <row r="148" spans="1:9" s="5" customFormat="1" ht="81" hidden="1">
      <c r="A148" s="55" t="s">
        <v>250</v>
      </c>
      <c r="B148" s="153" t="s">
        <v>251</v>
      </c>
      <c r="C148" s="52" t="s">
        <v>6</v>
      </c>
      <c r="D148" s="80">
        <f>+D149+D150+D151</f>
        <v>18</v>
      </c>
      <c r="E148" s="80">
        <f>+E149+E150+E151</f>
        <v>13</v>
      </c>
      <c r="F148" s="80">
        <f t="shared" si="8"/>
        <v>-5</v>
      </c>
      <c r="G148" s="81">
        <f t="shared" si="9"/>
        <v>-0.2777777777777778</v>
      </c>
      <c r="H148" s="3"/>
      <c r="I148" s="3"/>
    </row>
    <row r="149" spans="1:9" s="174" customFormat="1" ht="56.25" hidden="1">
      <c r="A149" s="66" t="s">
        <v>252</v>
      </c>
      <c r="B149" s="157" t="s">
        <v>253</v>
      </c>
      <c r="C149" s="107" t="s">
        <v>6</v>
      </c>
      <c r="D149" s="69">
        <v>18</v>
      </c>
      <c r="E149" s="69">
        <v>13</v>
      </c>
      <c r="F149" s="73">
        <f t="shared" si="8"/>
        <v>-5</v>
      </c>
      <c r="G149" s="59">
        <f t="shared" si="9"/>
        <v>-0.2777777777777778</v>
      </c>
      <c r="H149" s="3"/>
      <c r="I149" s="3"/>
    </row>
    <row r="150" spans="1:9" s="174" customFormat="1" ht="56.25" hidden="1">
      <c r="A150" s="66" t="s">
        <v>254</v>
      </c>
      <c r="B150" s="157" t="s">
        <v>255</v>
      </c>
      <c r="C150" s="107" t="s">
        <v>6</v>
      </c>
      <c r="D150" s="69">
        <v>0</v>
      </c>
      <c r="E150" s="69">
        <v>0</v>
      </c>
      <c r="F150" s="73">
        <f t="shared" si="8"/>
        <v>0</v>
      </c>
      <c r="G150" s="59" t="e">
        <f t="shared" si="9"/>
        <v>#DIV/0!</v>
      </c>
      <c r="H150" s="3"/>
      <c r="I150" s="3"/>
    </row>
    <row r="151" spans="1:9" s="174" customFormat="1" ht="56.25" hidden="1">
      <c r="A151" s="66" t="s">
        <v>256</v>
      </c>
      <c r="B151" s="157" t="s">
        <v>257</v>
      </c>
      <c r="C151" s="107" t="s">
        <v>6</v>
      </c>
      <c r="D151" s="69">
        <v>0</v>
      </c>
      <c r="E151" s="69">
        <v>0</v>
      </c>
      <c r="F151" s="73">
        <f t="shared" si="8"/>
        <v>0</v>
      </c>
      <c r="G151" s="59" t="e">
        <f t="shared" si="9"/>
        <v>#DIV/0!</v>
      </c>
      <c r="H151" s="3"/>
      <c r="I151" s="3"/>
    </row>
    <row r="152" spans="1:9" s="174" customFormat="1" ht="56.25" hidden="1">
      <c r="A152" s="66" t="s">
        <v>258</v>
      </c>
      <c r="B152" s="157" t="s">
        <v>259</v>
      </c>
      <c r="C152" s="107" t="s">
        <v>50</v>
      </c>
      <c r="D152" s="69">
        <v>2634</v>
      </c>
      <c r="E152" s="69">
        <v>3262.1</v>
      </c>
      <c r="F152" s="73">
        <f t="shared" si="8"/>
        <v>628.0999999999999</v>
      </c>
      <c r="G152" s="59">
        <f t="shared" si="9"/>
        <v>0.23845861807137436</v>
      </c>
      <c r="H152" s="3"/>
      <c r="I152" s="3"/>
    </row>
    <row r="153" spans="1:9" s="5" customFormat="1" ht="81" hidden="1">
      <c r="A153" s="55" t="s">
        <v>260</v>
      </c>
      <c r="B153" s="153" t="s">
        <v>261</v>
      </c>
      <c r="C153" s="52" t="s">
        <v>6</v>
      </c>
      <c r="D153" s="80">
        <f>D155+D156+D154</f>
        <v>116</v>
      </c>
      <c r="E153" s="80">
        <f>E155+E156+E154</f>
        <v>100</v>
      </c>
      <c r="F153" s="80">
        <f t="shared" si="8"/>
        <v>-16</v>
      </c>
      <c r="G153" s="81">
        <f t="shared" si="9"/>
        <v>-0.13793103448275867</v>
      </c>
      <c r="H153" s="3"/>
      <c r="I153" s="3"/>
    </row>
    <row r="154" spans="1:9" s="174" customFormat="1" ht="63" customHeight="1" hidden="1">
      <c r="A154" s="66" t="s">
        <v>262</v>
      </c>
      <c r="B154" s="157" t="s">
        <v>263</v>
      </c>
      <c r="C154" s="107" t="s">
        <v>6</v>
      </c>
      <c r="D154" s="69">
        <v>82</v>
      </c>
      <c r="E154" s="169">
        <v>88</v>
      </c>
      <c r="F154" s="80">
        <f aca="true" t="shared" si="11" ref="F154:F167">+E154-D154</f>
        <v>6</v>
      </c>
      <c r="G154" s="81">
        <f aca="true" t="shared" si="12" ref="G154:G167">+E154/D154-1</f>
        <v>0.07317073170731714</v>
      </c>
      <c r="H154" s="3"/>
      <c r="I154" s="3"/>
    </row>
    <row r="155" spans="1:9" s="174" customFormat="1" ht="75" hidden="1">
      <c r="A155" s="66" t="s">
        <v>264</v>
      </c>
      <c r="B155" s="157" t="s">
        <v>265</v>
      </c>
      <c r="C155" s="107" t="s">
        <v>6</v>
      </c>
      <c r="D155" s="69">
        <v>9</v>
      </c>
      <c r="E155" s="169">
        <v>9</v>
      </c>
      <c r="F155" s="80">
        <f t="shared" si="11"/>
        <v>0</v>
      </c>
      <c r="G155" s="81">
        <f t="shared" si="12"/>
        <v>0</v>
      </c>
      <c r="H155" s="3"/>
      <c r="I155" s="3"/>
    </row>
    <row r="156" spans="1:9" s="174" customFormat="1" ht="75" hidden="1">
      <c r="A156" s="66" t="s">
        <v>266</v>
      </c>
      <c r="B156" s="157" t="s">
        <v>267</v>
      </c>
      <c r="C156" s="107" t="s">
        <v>6</v>
      </c>
      <c r="D156" s="69">
        <v>25</v>
      </c>
      <c r="E156" s="169">
        <v>3</v>
      </c>
      <c r="F156" s="80">
        <f t="shared" si="11"/>
        <v>-22</v>
      </c>
      <c r="G156" s="81">
        <f t="shared" si="12"/>
        <v>-0.88</v>
      </c>
      <c r="H156" s="3"/>
      <c r="I156" s="3"/>
    </row>
    <row r="157" spans="1:9" s="174" customFormat="1" ht="75" hidden="1">
      <c r="A157" s="66" t="s">
        <v>268</v>
      </c>
      <c r="B157" s="157" t="s">
        <v>269</v>
      </c>
      <c r="C157" s="107" t="s">
        <v>50</v>
      </c>
      <c r="D157" s="69">
        <v>9515.2</v>
      </c>
      <c r="E157" s="169">
        <v>8736.2</v>
      </c>
      <c r="F157" s="80">
        <f t="shared" si="11"/>
        <v>-779</v>
      </c>
      <c r="G157" s="81">
        <f t="shared" si="12"/>
        <v>-0.08186900958466448</v>
      </c>
      <c r="H157" s="3"/>
      <c r="I157" s="3"/>
    </row>
    <row r="158" spans="1:9" s="210" customFormat="1" ht="162">
      <c r="A158" s="37" t="s">
        <v>270</v>
      </c>
      <c r="B158" s="56" t="s">
        <v>271</v>
      </c>
      <c r="C158" s="50" t="s">
        <v>6</v>
      </c>
      <c r="D158" s="175">
        <v>0</v>
      </c>
      <c r="E158" s="175">
        <v>0</v>
      </c>
      <c r="F158" s="43">
        <f t="shared" si="11"/>
        <v>0</v>
      </c>
      <c r="G158" s="44" t="e">
        <f t="shared" si="12"/>
        <v>#DIV/0!</v>
      </c>
      <c r="H158" s="209"/>
      <c r="I158" s="209"/>
    </row>
    <row r="159" spans="1:9" s="5" customFormat="1" ht="40.5">
      <c r="A159" s="37" t="s">
        <v>272</v>
      </c>
      <c r="B159" s="56" t="s">
        <v>273</v>
      </c>
      <c r="C159" s="50" t="s">
        <v>6</v>
      </c>
      <c r="D159" s="43">
        <f>+D160+D161+D162</f>
        <v>180</v>
      </c>
      <c r="E159" s="43">
        <f>+E160+E161+E162</f>
        <v>191</v>
      </c>
      <c r="F159" s="162">
        <f t="shared" si="11"/>
        <v>11</v>
      </c>
      <c r="G159" s="163">
        <f t="shared" si="12"/>
        <v>0.061111111111111116</v>
      </c>
      <c r="H159" s="3"/>
      <c r="I159" s="3"/>
    </row>
    <row r="160" spans="1:9" s="1" customFormat="1" ht="18.75">
      <c r="A160" s="66" t="s">
        <v>274</v>
      </c>
      <c r="B160" s="164" t="s">
        <v>275</v>
      </c>
      <c r="C160" s="107" t="s">
        <v>6</v>
      </c>
      <c r="D160" s="69">
        <v>0</v>
      </c>
      <c r="E160" s="69">
        <v>0</v>
      </c>
      <c r="F160" s="80">
        <f t="shared" si="11"/>
        <v>0</v>
      </c>
      <c r="G160" s="81" t="e">
        <f t="shared" si="12"/>
        <v>#DIV/0!</v>
      </c>
      <c r="H160" s="3"/>
      <c r="I160" s="3"/>
    </row>
    <row r="161" spans="1:9" s="1" customFormat="1" ht="18.75">
      <c r="A161" s="66" t="s">
        <v>276</v>
      </c>
      <c r="B161" s="164" t="s">
        <v>277</v>
      </c>
      <c r="C161" s="107" t="s">
        <v>6</v>
      </c>
      <c r="D161" s="69">
        <v>100</v>
      </c>
      <c r="E161" s="69">
        <v>113</v>
      </c>
      <c r="F161" s="80">
        <f t="shared" si="11"/>
        <v>13</v>
      </c>
      <c r="G161" s="81">
        <f t="shared" si="12"/>
        <v>0.1299999999999999</v>
      </c>
      <c r="H161" s="3"/>
      <c r="I161" s="3"/>
    </row>
    <row r="162" spans="1:9" s="1" customFormat="1" ht="18.75">
      <c r="A162" s="66" t="s">
        <v>278</v>
      </c>
      <c r="B162" s="164" t="s">
        <v>279</v>
      </c>
      <c r="C162" s="107" t="s">
        <v>6</v>
      </c>
      <c r="D162" s="69">
        <v>80</v>
      </c>
      <c r="E162" s="69">
        <v>78</v>
      </c>
      <c r="F162" s="80">
        <f t="shared" si="11"/>
        <v>-2</v>
      </c>
      <c r="G162" s="81">
        <f t="shared" si="12"/>
        <v>-0.025000000000000022</v>
      </c>
      <c r="H162" s="3"/>
      <c r="I162" s="3"/>
    </row>
    <row r="163" spans="1:9" s="5" customFormat="1" ht="40.5">
      <c r="A163" s="37" t="s">
        <v>280</v>
      </c>
      <c r="B163" s="56" t="s">
        <v>281</v>
      </c>
      <c r="C163" s="50" t="s">
        <v>282</v>
      </c>
      <c r="D163" s="69">
        <v>28</v>
      </c>
      <c r="E163" s="69">
        <v>31</v>
      </c>
      <c r="F163" s="73">
        <f t="shared" si="11"/>
        <v>3</v>
      </c>
      <c r="G163" s="59">
        <f t="shared" si="12"/>
        <v>0.1071428571428572</v>
      </c>
      <c r="H163" s="3"/>
      <c r="I163" s="189"/>
    </row>
    <row r="164" spans="1:9" s="1" customFormat="1" ht="18.75">
      <c r="A164" s="66" t="s">
        <v>283</v>
      </c>
      <c r="B164" s="164" t="s">
        <v>284</v>
      </c>
      <c r="C164" s="107" t="s">
        <v>282</v>
      </c>
      <c r="D164" s="69">
        <v>11</v>
      </c>
      <c r="E164" s="69">
        <v>12</v>
      </c>
      <c r="F164" s="73">
        <f t="shared" si="11"/>
        <v>1</v>
      </c>
      <c r="G164" s="59">
        <f t="shared" si="12"/>
        <v>0.09090909090909083</v>
      </c>
      <c r="H164" s="3"/>
      <c r="I164" s="3"/>
    </row>
    <row r="165" spans="1:9" s="171" customFormat="1" ht="60.75">
      <c r="A165" s="37" t="s">
        <v>285</v>
      </c>
      <c r="B165" s="56" t="s">
        <v>286</v>
      </c>
      <c r="C165" s="50" t="s">
        <v>444</v>
      </c>
      <c r="D165" s="43">
        <f>+D166+D167</f>
        <v>247.279</v>
      </c>
      <c r="E165" s="43">
        <f>+E166+E167</f>
        <v>309.93499999999995</v>
      </c>
      <c r="F165" s="162">
        <f t="shared" si="11"/>
        <v>62.65599999999995</v>
      </c>
      <c r="G165" s="163">
        <f t="shared" si="12"/>
        <v>0.2533818075938512</v>
      </c>
      <c r="H165" s="194"/>
      <c r="I165" s="194"/>
    </row>
    <row r="166" spans="1:9" s="5" customFormat="1" ht="20.25">
      <c r="A166" s="90" t="s">
        <v>287</v>
      </c>
      <c r="B166" s="157" t="s">
        <v>288</v>
      </c>
      <c r="C166" s="142" t="s">
        <v>444</v>
      </c>
      <c r="D166" s="69">
        <v>246.415</v>
      </c>
      <c r="E166" s="69">
        <v>303.929</v>
      </c>
      <c r="F166" s="73">
        <f t="shared" si="11"/>
        <v>57.51399999999998</v>
      </c>
      <c r="G166" s="59">
        <f t="shared" si="12"/>
        <v>0.23340299900574224</v>
      </c>
      <c r="H166" s="3"/>
      <c r="I166" s="3"/>
    </row>
    <row r="167" spans="1:9" s="5" customFormat="1" ht="20.25">
      <c r="A167" s="90" t="s">
        <v>289</v>
      </c>
      <c r="B167" s="165" t="s">
        <v>290</v>
      </c>
      <c r="C167" s="166" t="s">
        <v>444</v>
      </c>
      <c r="D167" s="69">
        <v>0.864</v>
      </c>
      <c r="E167" s="69">
        <v>6.006</v>
      </c>
      <c r="F167" s="76">
        <f t="shared" si="11"/>
        <v>5.142</v>
      </c>
      <c r="G167" s="100">
        <f t="shared" si="12"/>
        <v>5.951388888888889</v>
      </c>
      <c r="H167" s="3"/>
      <c r="I167" s="3"/>
    </row>
    <row r="168" spans="1:9" s="5" customFormat="1" ht="21">
      <c r="A168" s="211"/>
      <c r="B168" s="213"/>
      <c r="C168" s="212"/>
      <c r="D168" s="2"/>
      <c r="E168" s="2"/>
      <c r="F168" s="2"/>
      <c r="G168" s="10"/>
      <c r="H168" s="3"/>
      <c r="I168" s="3"/>
    </row>
    <row r="169" spans="1:9" s="5" customFormat="1" ht="21">
      <c r="A169" s="211"/>
      <c r="B169" s="213"/>
      <c r="C169" s="212"/>
      <c r="D169" s="2"/>
      <c r="E169" s="2"/>
      <c r="F169" s="2"/>
      <c r="G169" s="10"/>
      <c r="H169" s="3"/>
      <c r="I169" s="3"/>
    </row>
    <row r="170" spans="1:9" s="5" customFormat="1" ht="21">
      <c r="A170" s="211"/>
      <c r="B170" s="213"/>
      <c r="C170" s="212"/>
      <c r="D170" s="2"/>
      <c r="E170" s="2"/>
      <c r="F170" s="2"/>
      <c r="G170" s="10"/>
      <c r="H170" s="3"/>
      <c r="I170" s="3"/>
    </row>
    <row r="171" spans="1:9" s="5" customFormat="1" ht="21">
      <c r="A171" s="211"/>
      <c r="B171" s="213"/>
      <c r="C171" s="212"/>
      <c r="D171" s="2"/>
      <c r="E171" s="2"/>
      <c r="F171" s="2"/>
      <c r="G171" s="10"/>
      <c r="H171" s="3"/>
      <c r="I171" s="3"/>
    </row>
    <row r="172" spans="1:9" s="5" customFormat="1" ht="21">
      <c r="A172" s="211"/>
      <c r="B172" s="213"/>
      <c r="C172" s="212"/>
      <c r="D172" s="2"/>
      <c r="E172" s="2"/>
      <c r="F172" s="2"/>
      <c r="G172" s="10"/>
      <c r="H172" s="3"/>
      <c r="I172" s="3"/>
    </row>
    <row r="173" spans="1:9" s="5" customFormat="1" ht="21">
      <c r="A173" s="211"/>
      <c r="B173" s="213"/>
      <c r="C173" s="212"/>
      <c r="D173" s="2"/>
      <c r="E173" s="2"/>
      <c r="F173" s="2"/>
      <c r="G173" s="10"/>
      <c r="H173" s="3"/>
      <c r="I173" s="3"/>
    </row>
    <row r="174" spans="1:9" s="5" customFormat="1" ht="21">
      <c r="A174" s="211"/>
      <c r="B174" s="213"/>
      <c r="C174" s="212"/>
      <c r="D174" s="2"/>
      <c r="E174" s="2"/>
      <c r="F174" s="2"/>
      <c r="G174" s="10"/>
      <c r="H174" s="3"/>
      <c r="I174" s="3"/>
    </row>
    <row r="175" spans="1:9" s="5" customFormat="1" ht="21">
      <c r="A175" s="211"/>
      <c r="B175" s="213"/>
      <c r="C175" s="212"/>
      <c r="D175" s="2"/>
      <c r="E175" s="2"/>
      <c r="F175" s="2"/>
      <c r="G175" s="10"/>
      <c r="H175" s="3"/>
      <c r="I175" s="3"/>
    </row>
    <row r="176" spans="1:9" s="5" customFormat="1" ht="21">
      <c r="A176" s="211"/>
      <c r="B176" s="213"/>
      <c r="C176" s="212"/>
      <c r="D176" s="2"/>
      <c r="E176" s="2"/>
      <c r="F176" s="2"/>
      <c r="G176" s="10"/>
      <c r="H176" s="3"/>
      <c r="I176" s="3"/>
    </row>
    <row r="177" spans="1:9" s="5" customFormat="1" ht="21">
      <c r="A177" s="211"/>
      <c r="B177" s="213"/>
      <c r="C177" s="212"/>
      <c r="D177" s="2"/>
      <c r="E177" s="2"/>
      <c r="F177" s="2"/>
      <c r="G177" s="10"/>
      <c r="H177" s="3"/>
      <c r="I177" s="3"/>
    </row>
    <row r="178" spans="1:9" s="5" customFormat="1" ht="21">
      <c r="A178" s="211"/>
      <c r="B178" s="213"/>
      <c r="C178" s="212"/>
      <c r="D178" s="2"/>
      <c r="E178" s="2"/>
      <c r="F178" s="2"/>
      <c r="G178" s="10"/>
      <c r="H178" s="3"/>
      <c r="I178" s="3"/>
    </row>
    <row r="179" spans="1:9" s="5" customFormat="1" ht="21">
      <c r="A179" s="211"/>
      <c r="B179" s="213"/>
      <c r="C179" s="212"/>
      <c r="D179" s="2"/>
      <c r="E179" s="2"/>
      <c r="F179" s="2"/>
      <c r="G179" s="10"/>
      <c r="H179" s="3"/>
      <c r="I179" s="3"/>
    </row>
    <row r="180" spans="1:9" s="5" customFormat="1" ht="21">
      <c r="A180" s="211"/>
      <c r="B180" s="213"/>
      <c r="C180" s="212"/>
      <c r="D180" s="2"/>
      <c r="E180" s="2"/>
      <c r="F180" s="2"/>
      <c r="G180" s="10"/>
      <c r="H180" s="3"/>
      <c r="I180" s="3"/>
    </row>
    <row r="181" spans="1:9" s="5" customFormat="1" ht="21">
      <c r="A181" s="211"/>
      <c r="B181" s="213"/>
      <c r="C181" s="212"/>
      <c r="D181" s="2"/>
      <c r="E181" s="2"/>
      <c r="F181" s="2"/>
      <c r="G181" s="10"/>
      <c r="H181" s="3"/>
      <c r="I181" s="3"/>
    </row>
    <row r="182" spans="1:9" s="5" customFormat="1" ht="21">
      <c r="A182" s="211"/>
      <c r="B182" s="213"/>
      <c r="C182" s="212"/>
      <c r="D182" s="2"/>
      <c r="E182" s="2"/>
      <c r="F182" s="2"/>
      <c r="G182" s="10"/>
      <c r="H182" s="3"/>
      <c r="I182" s="3"/>
    </row>
    <row r="183" spans="1:9" s="5" customFormat="1" ht="21">
      <c r="A183" s="211"/>
      <c r="B183" s="213"/>
      <c r="C183" s="212"/>
      <c r="D183" s="2"/>
      <c r="E183" s="2"/>
      <c r="F183" s="2"/>
      <c r="G183" s="10"/>
      <c r="H183" s="3"/>
      <c r="I183" s="3"/>
    </row>
    <row r="184" spans="1:9" s="5" customFormat="1" ht="21">
      <c r="A184" s="211"/>
      <c r="B184" s="213"/>
      <c r="C184" s="212"/>
      <c r="D184" s="2"/>
      <c r="E184" s="2"/>
      <c r="F184" s="2"/>
      <c r="G184" s="10"/>
      <c r="H184" s="3"/>
      <c r="I184" s="3"/>
    </row>
    <row r="185" spans="1:9" s="5" customFormat="1" ht="21">
      <c r="A185" s="211"/>
      <c r="B185" s="213"/>
      <c r="C185" s="212"/>
      <c r="D185" s="2"/>
      <c r="E185" s="2"/>
      <c r="F185" s="2"/>
      <c r="G185" s="10"/>
      <c r="H185" s="3"/>
      <c r="I185" s="3"/>
    </row>
    <row r="186" spans="1:9" s="5" customFormat="1" ht="21">
      <c r="A186" s="211"/>
      <c r="B186" s="213"/>
      <c r="C186" s="212"/>
      <c r="D186" s="2"/>
      <c r="E186" s="2"/>
      <c r="F186" s="2"/>
      <c r="G186" s="10"/>
      <c r="H186" s="3"/>
      <c r="I186" s="3"/>
    </row>
    <row r="187" spans="1:9" s="5" customFormat="1" ht="21">
      <c r="A187" s="211"/>
      <c r="B187" s="213"/>
      <c r="C187" s="212"/>
      <c r="D187" s="2"/>
      <c r="E187" s="2"/>
      <c r="F187" s="2"/>
      <c r="G187" s="10"/>
      <c r="H187" s="3"/>
      <c r="I187" s="3"/>
    </row>
    <row r="188" spans="1:9" s="5" customFormat="1" ht="21">
      <c r="A188" s="211"/>
      <c r="B188" s="213"/>
      <c r="C188" s="212"/>
      <c r="D188" s="2"/>
      <c r="E188" s="2"/>
      <c r="F188" s="2"/>
      <c r="G188" s="10"/>
      <c r="H188" s="3"/>
      <c r="I188" s="3"/>
    </row>
    <row r="189" spans="1:9" s="5" customFormat="1" ht="21">
      <c r="A189" s="211"/>
      <c r="B189" s="213"/>
      <c r="C189" s="212"/>
      <c r="D189" s="2"/>
      <c r="E189" s="2"/>
      <c r="F189" s="2"/>
      <c r="G189" s="10"/>
      <c r="H189" s="3"/>
      <c r="I189" s="3"/>
    </row>
    <row r="190" spans="1:9" s="5" customFormat="1" ht="21">
      <c r="A190" s="211"/>
      <c r="B190" s="213"/>
      <c r="C190" s="212"/>
      <c r="D190" s="2"/>
      <c r="E190" s="2"/>
      <c r="F190" s="2"/>
      <c r="G190" s="10"/>
      <c r="H190" s="3"/>
      <c r="I190" s="3"/>
    </row>
    <row r="191" spans="1:9" s="5" customFormat="1" ht="21">
      <c r="A191" s="211"/>
      <c r="B191" s="213"/>
      <c r="C191" s="212"/>
      <c r="D191" s="2"/>
      <c r="E191" s="2"/>
      <c r="F191" s="2"/>
      <c r="G191" s="10"/>
      <c r="H191" s="3"/>
      <c r="I191" s="3"/>
    </row>
    <row r="192" spans="1:9" s="5" customFormat="1" ht="21">
      <c r="A192" s="211"/>
      <c r="B192" s="213"/>
      <c r="C192" s="212"/>
      <c r="D192" s="2"/>
      <c r="E192" s="2"/>
      <c r="F192" s="2"/>
      <c r="G192" s="10"/>
      <c r="H192" s="3"/>
      <c r="I192" s="3"/>
    </row>
    <row r="193" spans="1:9" s="5" customFormat="1" ht="21">
      <c r="A193" s="211"/>
      <c r="B193" s="213"/>
      <c r="C193" s="212"/>
      <c r="D193" s="2"/>
      <c r="E193" s="2"/>
      <c r="F193" s="2"/>
      <c r="G193" s="10"/>
      <c r="H193" s="3"/>
      <c r="I193" s="3"/>
    </row>
    <row r="194" spans="1:9" s="5" customFormat="1" ht="21">
      <c r="A194" s="211"/>
      <c r="B194" s="213"/>
      <c r="C194" s="212"/>
      <c r="D194" s="2"/>
      <c r="E194" s="2"/>
      <c r="F194" s="2"/>
      <c r="G194" s="10"/>
      <c r="H194" s="3"/>
      <c r="I194" s="3"/>
    </row>
    <row r="195" spans="1:9" s="5" customFormat="1" ht="21">
      <c r="A195" s="211"/>
      <c r="B195" s="213"/>
      <c r="C195" s="212"/>
      <c r="D195" s="2"/>
      <c r="E195" s="2"/>
      <c r="F195" s="2"/>
      <c r="G195" s="10"/>
      <c r="H195" s="3"/>
      <c r="I195" s="3"/>
    </row>
    <row r="196" spans="1:9" s="5" customFormat="1" ht="21">
      <c r="A196" s="211"/>
      <c r="B196" s="213"/>
      <c r="C196" s="212"/>
      <c r="D196" s="2"/>
      <c r="E196" s="2"/>
      <c r="F196" s="2"/>
      <c r="G196" s="10"/>
      <c r="H196" s="3"/>
      <c r="I196" s="3"/>
    </row>
    <row r="197" spans="1:9" s="5" customFormat="1" ht="21">
      <c r="A197" s="211"/>
      <c r="B197" s="213"/>
      <c r="C197" s="212"/>
      <c r="D197" s="2"/>
      <c r="E197" s="2"/>
      <c r="F197" s="2"/>
      <c r="G197" s="10"/>
      <c r="H197" s="3"/>
      <c r="I197" s="3"/>
    </row>
    <row r="198" spans="1:9" s="5" customFormat="1" ht="21">
      <c r="A198" s="211"/>
      <c r="B198" s="213"/>
      <c r="C198" s="212"/>
      <c r="D198" s="2"/>
      <c r="E198" s="2"/>
      <c r="F198" s="2"/>
      <c r="G198" s="10"/>
      <c r="H198" s="3"/>
      <c r="I198" s="3"/>
    </row>
    <row r="199" spans="1:9" s="5" customFormat="1" ht="21">
      <c r="A199" s="211"/>
      <c r="B199" s="213"/>
      <c r="C199" s="212"/>
      <c r="D199" s="2"/>
      <c r="E199" s="2"/>
      <c r="F199" s="2"/>
      <c r="G199" s="10"/>
      <c r="H199" s="3"/>
      <c r="I199" s="3"/>
    </row>
    <row r="200" spans="1:9" s="5" customFormat="1" ht="21">
      <c r="A200" s="211"/>
      <c r="B200" s="213"/>
      <c r="C200" s="212"/>
      <c r="D200" s="2"/>
      <c r="E200" s="2"/>
      <c r="F200" s="2"/>
      <c r="G200" s="10"/>
      <c r="H200" s="3"/>
      <c r="I200" s="3"/>
    </row>
    <row r="201" spans="1:9" s="5" customFormat="1" ht="21">
      <c r="A201" s="211"/>
      <c r="B201" s="213"/>
      <c r="C201" s="212"/>
      <c r="D201" s="2"/>
      <c r="E201" s="2"/>
      <c r="F201" s="2"/>
      <c r="G201" s="10"/>
      <c r="H201" s="3"/>
      <c r="I201" s="3"/>
    </row>
    <row r="202" spans="1:9" s="5" customFormat="1" ht="21">
      <c r="A202" s="211"/>
      <c r="B202" s="213"/>
      <c r="C202" s="212"/>
      <c r="D202" s="2"/>
      <c r="E202" s="2"/>
      <c r="F202" s="2"/>
      <c r="G202" s="10"/>
      <c r="H202" s="3"/>
      <c r="I202" s="3"/>
    </row>
    <row r="203" spans="1:9" s="5" customFormat="1" ht="21">
      <c r="A203" s="211"/>
      <c r="B203" s="213"/>
      <c r="C203" s="212"/>
      <c r="D203" s="2"/>
      <c r="E203" s="2"/>
      <c r="F203" s="2"/>
      <c r="G203" s="10"/>
      <c r="H203" s="3"/>
      <c r="I203" s="3"/>
    </row>
    <row r="204" spans="1:9" s="5" customFormat="1" ht="21">
      <c r="A204" s="211"/>
      <c r="B204" s="213"/>
      <c r="C204" s="212"/>
      <c r="D204" s="2"/>
      <c r="E204" s="2"/>
      <c r="F204" s="2"/>
      <c r="G204" s="10"/>
      <c r="H204" s="3"/>
      <c r="I204" s="3"/>
    </row>
    <row r="205" spans="1:9" s="5" customFormat="1" ht="21">
      <c r="A205" s="211"/>
      <c r="B205" s="213"/>
      <c r="C205" s="212"/>
      <c r="D205" s="2"/>
      <c r="E205" s="2"/>
      <c r="F205" s="2"/>
      <c r="G205" s="10"/>
      <c r="H205" s="3"/>
      <c r="I205" s="3"/>
    </row>
    <row r="206" spans="1:9" s="5" customFormat="1" ht="21">
      <c r="A206" s="211"/>
      <c r="B206" s="213"/>
      <c r="C206" s="212"/>
      <c r="D206" s="2"/>
      <c r="E206" s="2"/>
      <c r="F206" s="2"/>
      <c r="G206" s="10"/>
      <c r="H206" s="3"/>
      <c r="I206" s="3"/>
    </row>
    <row r="207" spans="1:9" s="5" customFormat="1" ht="21">
      <c r="A207" s="211"/>
      <c r="B207" s="213"/>
      <c r="C207" s="212"/>
      <c r="D207" s="2"/>
      <c r="E207" s="2"/>
      <c r="F207" s="2"/>
      <c r="G207" s="10"/>
      <c r="H207" s="3"/>
      <c r="I207" s="3"/>
    </row>
    <row r="208" spans="1:9" s="5" customFormat="1" ht="21">
      <c r="A208" s="211"/>
      <c r="B208" s="213"/>
      <c r="C208" s="212"/>
      <c r="D208" s="2"/>
      <c r="E208" s="2"/>
      <c r="F208" s="2"/>
      <c r="G208" s="10"/>
      <c r="H208" s="3"/>
      <c r="I208" s="3"/>
    </row>
    <row r="209" spans="1:9" s="5" customFormat="1" ht="21">
      <c r="A209" s="211"/>
      <c r="B209" s="213"/>
      <c r="C209" s="212"/>
      <c r="D209" s="2"/>
      <c r="E209" s="2"/>
      <c r="F209" s="2"/>
      <c r="G209" s="10"/>
      <c r="H209" s="3"/>
      <c r="I209" s="3"/>
    </row>
    <row r="210" spans="1:9" s="5" customFormat="1" ht="21">
      <c r="A210" s="211"/>
      <c r="B210" s="213"/>
      <c r="C210" s="212"/>
      <c r="D210" s="2"/>
      <c r="E210" s="2"/>
      <c r="F210" s="2"/>
      <c r="G210" s="10"/>
      <c r="H210" s="3"/>
      <c r="I210" s="3"/>
    </row>
    <row r="211" spans="1:9" s="5" customFormat="1" ht="21">
      <c r="A211" s="211"/>
      <c r="B211" s="213"/>
      <c r="C211" s="212"/>
      <c r="D211" s="2"/>
      <c r="E211" s="2"/>
      <c r="F211" s="2"/>
      <c r="G211" s="10"/>
      <c r="H211" s="3"/>
      <c r="I211" s="3"/>
    </row>
    <row r="212" spans="1:9" s="5" customFormat="1" ht="21">
      <c r="A212" s="211"/>
      <c r="B212" s="213"/>
      <c r="C212" s="212"/>
      <c r="D212" s="2"/>
      <c r="E212" s="2"/>
      <c r="F212" s="2"/>
      <c r="G212" s="10"/>
      <c r="H212" s="3"/>
      <c r="I212" s="3"/>
    </row>
    <row r="213" spans="1:9" s="5" customFormat="1" ht="21">
      <c r="A213" s="211"/>
      <c r="B213" s="213"/>
      <c r="C213" s="212"/>
      <c r="D213" s="2"/>
      <c r="E213" s="2"/>
      <c r="F213" s="2"/>
      <c r="G213" s="10"/>
      <c r="H213" s="3"/>
      <c r="I213" s="3"/>
    </row>
    <row r="214" spans="1:9" s="5" customFormat="1" ht="21">
      <c r="A214" s="211"/>
      <c r="B214" s="213"/>
      <c r="C214" s="212"/>
      <c r="D214" s="2"/>
      <c r="E214" s="2"/>
      <c r="F214" s="2"/>
      <c r="G214" s="10"/>
      <c r="H214" s="3"/>
      <c r="I214" s="3"/>
    </row>
    <row r="215" spans="1:9" s="5" customFormat="1" ht="21">
      <c r="A215" s="211"/>
      <c r="B215" s="213"/>
      <c r="C215" s="212"/>
      <c r="D215" s="2"/>
      <c r="E215" s="2"/>
      <c r="F215" s="2"/>
      <c r="G215" s="10"/>
      <c r="H215" s="3"/>
      <c r="I215" s="3"/>
    </row>
    <row r="216" spans="1:9" s="5" customFormat="1" ht="21">
      <c r="A216" s="211"/>
      <c r="B216" s="213"/>
      <c r="C216" s="212"/>
      <c r="D216" s="2"/>
      <c r="E216" s="2"/>
      <c r="F216" s="2"/>
      <c r="G216" s="10"/>
      <c r="H216" s="3"/>
      <c r="I216" s="3"/>
    </row>
    <row r="217" spans="1:9" s="5" customFormat="1" ht="21">
      <c r="A217" s="211"/>
      <c r="B217" s="213"/>
      <c r="C217" s="212"/>
      <c r="D217" s="2"/>
      <c r="E217" s="2"/>
      <c r="F217" s="2"/>
      <c r="G217" s="10"/>
      <c r="H217" s="3"/>
      <c r="I217" s="3"/>
    </row>
    <row r="218" spans="1:9" s="5" customFormat="1" ht="21">
      <c r="A218" s="211"/>
      <c r="B218" s="213"/>
      <c r="C218" s="212"/>
      <c r="D218" s="2"/>
      <c r="E218" s="2"/>
      <c r="F218" s="2"/>
      <c r="G218" s="10"/>
      <c r="H218" s="3"/>
      <c r="I218" s="3"/>
    </row>
    <row r="219" spans="1:9" s="5" customFormat="1" ht="21">
      <c r="A219" s="211"/>
      <c r="B219" s="213"/>
      <c r="C219" s="212"/>
      <c r="D219" s="2"/>
      <c r="E219" s="2"/>
      <c r="F219" s="2"/>
      <c r="G219" s="10"/>
      <c r="H219" s="3"/>
      <c r="I219" s="3"/>
    </row>
    <row r="220" spans="1:9" s="5" customFormat="1" ht="21">
      <c r="A220" s="211"/>
      <c r="B220" s="213"/>
      <c r="C220" s="212"/>
      <c r="D220" s="2"/>
      <c r="E220" s="2"/>
      <c r="F220" s="2"/>
      <c r="G220" s="10"/>
      <c r="H220" s="3"/>
      <c r="I220" s="3"/>
    </row>
    <row r="221" spans="1:9" s="5" customFormat="1" ht="21">
      <c r="A221" s="211"/>
      <c r="B221" s="213"/>
      <c r="C221" s="212"/>
      <c r="D221" s="2"/>
      <c r="E221" s="2"/>
      <c r="F221" s="2"/>
      <c r="G221" s="10"/>
      <c r="H221" s="3"/>
      <c r="I221" s="3"/>
    </row>
    <row r="222" spans="1:9" s="5" customFormat="1" ht="21">
      <c r="A222" s="211"/>
      <c r="B222" s="213"/>
      <c r="C222" s="212"/>
      <c r="D222" s="2"/>
      <c r="E222" s="2"/>
      <c r="F222" s="2"/>
      <c r="G222" s="10"/>
      <c r="H222" s="3"/>
      <c r="I222" s="3"/>
    </row>
    <row r="223" spans="1:9" s="5" customFormat="1" ht="21">
      <c r="A223" s="211"/>
      <c r="B223" s="213"/>
      <c r="C223" s="212"/>
      <c r="D223" s="2"/>
      <c r="E223" s="2"/>
      <c r="F223" s="2"/>
      <c r="G223" s="10"/>
      <c r="H223" s="3"/>
      <c r="I223" s="3"/>
    </row>
    <row r="224" spans="1:9" s="5" customFormat="1" ht="21">
      <c r="A224" s="211"/>
      <c r="B224" s="213"/>
      <c r="C224" s="212"/>
      <c r="D224" s="2"/>
      <c r="E224" s="2"/>
      <c r="F224" s="2"/>
      <c r="G224" s="10"/>
      <c r="H224" s="3"/>
      <c r="I224" s="3"/>
    </row>
    <row r="225" spans="1:9" s="5" customFormat="1" ht="21">
      <c r="A225" s="211"/>
      <c r="B225" s="213"/>
      <c r="C225" s="212"/>
      <c r="D225" s="2"/>
      <c r="E225" s="2"/>
      <c r="F225" s="2"/>
      <c r="G225" s="10"/>
      <c r="H225" s="3"/>
      <c r="I225" s="3"/>
    </row>
    <row r="226" spans="1:9" s="5" customFormat="1" ht="21">
      <c r="A226" s="211"/>
      <c r="B226" s="213"/>
      <c r="C226" s="212"/>
      <c r="D226" s="2"/>
      <c r="E226" s="2"/>
      <c r="F226" s="2"/>
      <c r="G226" s="10"/>
      <c r="H226" s="3"/>
      <c r="I226" s="3"/>
    </row>
    <row r="227" spans="1:9" s="5" customFormat="1" ht="21">
      <c r="A227" s="211"/>
      <c r="B227" s="213"/>
      <c r="C227" s="212"/>
      <c r="D227" s="2"/>
      <c r="E227" s="2"/>
      <c r="F227" s="2"/>
      <c r="G227" s="10"/>
      <c r="H227" s="3"/>
      <c r="I227" s="3"/>
    </row>
    <row r="228" spans="1:9" s="5" customFormat="1" ht="21">
      <c r="A228" s="211"/>
      <c r="B228" s="213"/>
      <c r="C228" s="212"/>
      <c r="D228" s="2"/>
      <c r="E228" s="2"/>
      <c r="F228" s="2"/>
      <c r="G228" s="10"/>
      <c r="H228" s="3"/>
      <c r="I228" s="3"/>
    </row>
    <row r="229" spans="1:9" s="5" customFormat="1" ht="21">
      <c r="A229" s="211"/>
      <c r="B229" s="213"/>
      <c r="C229" s="212"/>
      <c r="D229" s="2"/>
      <c r="E229" s="2"/>
      <c r="F229" s="2"/>
      <c r="G229" s="10"/>
      <c r="H229" s="3"/>
      <c r="I229" s="3"/>
    </row>
    <row r="230" spans="1:9" s="5" customFormat="1" ht="21">
      <c r="A230" s="211"/>
      <c r="B230" s="213"/>
      <c r="C230" s="212"/>
      <c r="D230" s="2"/>
      <c r="E230" s="2"/>
      <c r="F230" s="2"/>
      <c r="G230" s="10"/>
      <c r="H230" s="3"/>
      <c r="I230" s="3"/>
    </row>
    <row r="231" spans="1:9" s="5" customFormat="1" ht="21">
      <c r="A231" s="211"/>
      <c r="B231" s="213"/>
      <c r="C231" s="212"/>
      <c r="D231" s="2"/>
      <c r="E231" s="2"/>
      <c r="F231" s="2"/>
      <c r="G231" s="10"/>
      <c r="H231" s="3"/>
      <c r="I231" s="3"/>
    </row>
    <row r="232" spans="1:9" s="5" customFormat="1" ht="21">
      <c r="A232" s="211"/>
      <c r="B232" s="213"/>
      <c r="C232" s="212"/>
      <c r="D232" s="2"/>
      <c r="E232" s="2"/>
      <c r="F232" s="2"/>
      <c r="G232" s="10"/>
      <c r="H232" s="3"/>
      <c r="I232" s="3"/>
    </row>
    <row r="233" spans="1:9" s="5" customFormat="1" ht="21">
      <c r="A233" s="211"/>
      <c r="B233" s="213"/>
      <c r="C233" s="212"/>
      <c r="D233" s="2"/>
      <c r="E233" s="2"/>
      <c r="F233" s="2"/>
      <c r="G233" s="10"/>
      <c r="H233" s="3"/>
      <c r="I233" s="3"/>
    </row>
    <row r="234" spans="1:9" s="5" customFormat="1" ht="21">
      <c r="A234" s="211"/>
      <c r="B234" s="213"/>
      <c r="C234" s="212"/>
      <c r="D234" s="2"/>
      <c r="E234" s="2"/>
      <c r="F234" s="2"/>
      <c r="G234" s="10"/>
      <c r="H234" s="3"/>
      <c r="I234" s="3"/>
    </row>
    <row r="235" spans="1:9" s="5" customFormat="1" ht="21">
      <c r="A235" s="211"/>
      <c r="B235" s="213"/>
      <c r="C235" s="212"/>
      <c r="D235" s="2"/>
      <c r="E235" s="2"/>
      <c r="F235" s="2"/>
      <c r="G235" s="10"/>
      <c r="H235" s="3"/>
      <c r="I235" s="3"/>
    </row>
    <row r="236" spans="1:9" s="5" customFormat="1" ht="21">
      <c r="A236" s="211"/>
      <c r="B236" s="213"/>
      <c r="C236" s="212"/>
      <c r="D236" s="2"/>
      <c r="E236" s="2"/>
      <c r="F236" s="2"/>
      <c r="G236" s="10"/>
      <c r="H236" s="3"/>
      <c r="I236" s="3"/>
    </row>
    <row r="237" spans="1:9" s="5" customFormat="1" ht="21">
      <c r="A237" s="211"/>
      <c r="B237" s="213"/>
      <c r="C237" s="212"/>
      <c r="D237" s="2"/>
      <c r="E237" s="2"/>
      <c r="F237" s="2"/>
      <c r="G237" s="10"/>
      <c r="H237" s="3"/>
      <c r="I237" s="3"/>
    </row>
    <row r="238" spans="1:9" s="5" customFormat="1" ht="21">
      <c r="A238" s="211"/>
      <c r="B238" s="213"/>
      <c r="C238" s="212"/>
      <c r="D238" s="2"/>
      <c r="E238" s="2"/>
      <c r="F238" s="2"/>
      <c r="G238" s="10"/>
      <c r="H238" s="3"/>
      <c r="I238" s="3"/>
    </row>
    <row r="239" spans="1:9" s="5" customFormat="1" ht="21">
      <c r="A239" s="211"/>
      <c r="B239" s="213"/>
      <c r="C239" s="212"/>
      <c r="D239" s="2"/>
      <c r="E239" s="2"/>
      <c r="F239" s="2"/>
      <c r="G239" s="10"/>
      <c r="H239" s="3"/>
      <c r="I239" s="3"/>
    </row>
    <row r="240" spans="1:9" s="5" customFormat="1" ht="21">
      <c r="A240" s="211"/>
      <c r="B240" s="213"/>
      <c r="C240" s="212"/>
      <c r="D240" s="2"/>
      <c r="E240" s="2"/>
      <c r="F240" s="2"/>
      <c r="G240" s="10"/>
      <c r="H240" s="3"/>
      <c r="I240" s="3"/>
    </row>
    <row r="241" spans="1:9" s="5" customFormat="1" ht="21">
      <c r="A241" s="211"/>
      <c r="B241" s="213"/>
      <c r="C241" s="212"/>
      <c r="D241" s="2"/>
      <c r="E241" s="2"/>
      <c r="F241" s="2"/>
      <c r="G241" s="10"/>
      <c r="H241" s="3"/>
      <c r="I241" s="3"/>
    </row>
    <row r="242" spans="1:9" s="5" customFormat="1" ht="21">
      <c r="A242" s="211"/>
      <c r="B242" s="213"/>
      <c r="C242" s="212"/>
      <c r="D242" s="2"/>
      <c r="E242" s="2"/>
      <c r="F242" s="2"/>
      <c r="G242" s="10"/>
      <c r="H242" s="3"/>
      <c r="I242" s="3"/>
    </row>
    <row r="243" spans="1:9" s="5" customFormat="1" ht="21">
      <c r="A243" s="211"/>
      <c r="B243" s="213"/>
      <c r="C243" s="212"/>
      <c r="D243" s="2"/>
      <c r="E243" s="2"/>
      <c r="F243" s="2"/>
      <c r="G243" s="10"/>
      <c r="H243" s="3"/>
      <c r="I243" s="3"/>
    </row>
    <row r="244" spans="1:9" s="5" customFormat="1" ht="21">
      <c r="A244" s="211"/>
      <c r="B244" s="213"/>
      <c r="C244" s="212"/>
      <c r="D244" s="2"/>
      <c r="E244" s="2"/>
      <c r="F244" s="2"/>
      <c r="G244" s="10"/>
      <c r="H244" s="3"/>
      <c r="I244" s="3"/>
    </row>
    <row r="245" spans="1:9" s="5" customFormat="1" ht="21">
      <c r="A245" s="211"/>
      <c r="B245" s="213"/>
      <c r="C245" s="212"/>
      <c r="D245" s="2"/>
      <c r="E245" s="2"/>
      <c r="F245" s="2"/>
      <c r="G245" s="10"/>
      <c r="H245" s="3"/>
      <c r="I245" s="3"/>
    </row>
    <row r="246" spans="1:9" s="5" customFormat="1" ht="21">
      <c r="A246" s="211"/>
      <c r="B246" s="213"/>
      <c r="C246" s="212"/>
      <c r="D246" s="2"/>
      <c r="E246" s="2"/>
      <c r="F246" s="2"/>
      <c r="G246" s="10"/>
      <c r="H246" s="3"/>
      <c r="I246" s="3"/>
    </row>
    <row r="247" spans="1:9" s="5" customFormat="1" ht="21">
      <c r="A247" s="211"/>
      <c r="B247" s="213"/>
      <c r="C247" s="212"/>
      <c r="D247" s="2"/>
      <c r="E247" s="2"/>
      <c r="F247" s="2"/>
      <c r="G247" s="10"/>
      <c r="H247" s="3"/>
      <c r="I247" s="3"/>
    </row>
    <row r="248" spans="1:9" s="5" customFormat="1" ht="21">
      <c r="A248" s="211"/>
      <c r="B248" s="213"/>
      <c r="C248" s="212"/>
      <c r="D248" s="2"/>
      <c r="E248" s="2"/>
      <c r="F248" s="2"/>
      <c r="G248" s="10"/>
      <c r="H248" s="3"/>
      <c r="I248" s="3"/>
    </row>
    <row r="249" spans="1:9" s="5" customFormat="1" ht="21">
      <c r="A249" s="211"/>
      <c r="B249" s="213"/>
      <c r="C249" s="212"/>
      <c r="D249" s="2"/>
      <c r="E249" s="2"/>
      <c r="F249" s="2"/>
      <c r="G249" s="10"/>
      <c r="H249" s="3"/>
      <c r="I249" s="3"/>
    </row>
    <row r="250" spans="1:9" s="5" customFormat="1" ht="21">
      <c r="A250" s="211"/>
      <c r="B250" s="213"/>
      <c r="C250" s="212"/>
      <c r="D250" s="2"/>
      <c r="E250" s="2"/>
      <c r="F250" s="2"/>
      <c r="G250" s="10"/>
      <c r="H250" s="3"/>
      <c r="I250" s="3"/>
    </row>
    <row r="251" spans="1:9" s="5" customFormat="1" ht="21">
      <c r="A251" s="211"/>
      <c r="B251" s="213"/>
      <c r="C251" s="212"/>
      <c r="D251" s="2"/>
      <c r="E251" s="2"/>
      <c r="F251" s="2"/>
      <c r="G251" s="10"/>
      <c r="H251" s="3"/>
      <c r="I251" s="3"/>
    </row>
    <row r="252" spans="1:9" s="5" customFormat="1" ht="21">
      <c r="A252" s="211"/>
      <c r="B252" s="213"/>
      <c r="C252" s="212"/>
      <c r="D252" s="2"/>
      <c r="E252" s="2"/>
      <c r="F252" s="2"/>
      <c r="G252" s="10"/>
      <c r="H252" s="3"/>
      <c r="I252" s="3"/>
    </row>
    <row r="253" spans="1:9" s="5" customFormat="1" ht="21">
      <c r="A253" s="211"/>
      <c r="B253" s="213"/>
      <c r="C253" s="212"/>
      <c r="D253" s="2"/>
      <c r="E253" s="2"/>
      <c r="F253" s="2"/>
      <c r="G253" s="10"/>
      <c r="H253" s="3"/>
      <c r="I253" s="3"/>
    </row>
    <row r="254" spans="1:9" s="5" customFormat="1" ht="21">
      <c r="A254" s="211"/>
      <c r="B254" s="213"/>
      <c r="C254" s="212"/>
      <c r="D254" s="2"/>
      <c r="E254" s="2"/>
      <c r="F254" s="2"/>
      <c r="G254" s="10"/>
      <c r="H254" s="3"/>
      <c r="I254" s="3"/>
    </row>
    <row r="255" spans="1:9" s="5" customFormat="1" ht="21">
      <c r="A255" s="211"/>
      <c r="B255" s="213"/>
      <c r="C255" s="212"/>
      <c r="D255" s="2"/>
      <c r="E255" s="2"/>
      <c r="F255" s="2"/>
      <c r="G255" s="10"/>
      <c r="H255" s="3"/>
      <c r="I255" s="3"/>
    </row>
    <row r="256" spans="1:9" s="5" customFormat="1" ht="21">
      <c r="A256" s="211"/>
      <c r="B256" s="213"/>
      <c r="C256" s="212"/>
      <c r="D256" s="2"/>
      <c r="E256" s="2"/>
      <c r="F256" s="2"/>
      <c r="G256" s="10"/>
      <c r="H256" s="3"/>
      <c r="I256" s="3"/>
    </row>
    <row r="257" spans="1:9" s="5" customFormat="1" ht="21">
      <c r="A257" s="211"/>
      <c r="B257" s="213"/>
      <c r="C257" s="212"/>
      <c r="D257" s="2"/>
      <c r="E257" s="2"/>
      <c r="F257" s="2"/>
      <c r="G257" s="10"/>
      <c r="H257" s="3"/>
      <c r="I257" s="3"/>
    </row>
    <row r="258" spans="1:9" s="5" customFormat="1" ht="21">
      <c r="A258" s="211"/>
      <c r="B258" s="213"/>
      <c r="C258" s="212"/>
      <c r="D258" s="2"/>
      <c r="E258" s="2"/>
      <c r="F258" s="2"/>
      <c r="G258" s="10"/>
      <c r="H258" s="3"/>
      <c r="I258" s="3"/>
    </row>
    <row r="259" spans="1:9" s="5" customFormat="1" ht="21">
      <c r="A259" s="211"/>
      <c r="B259" s="213"/>
      <c r="C259" s="212"/>
      <c r="D259" s="2"/>
      <c r="E259" s="2"/>
      <c r="F259" s="2"/>
      <c r="G259" s="10"/>
      <c r="H259" s="3"/>
      <c r="I259" s="3"/>
    </row>
    <row r="260" spans="1:9" s="5" customFormat="1" ht="21">
      <c r="A260" s="211"/>
      <c r="B260" s="213"/>
      <c r="C260" s="212"/>
      <c r="D260" s="2"/>
      <c r="E260" s="2"/>
      <c r="F260" s="2"/>
      <c r="G260" s="10"/>
      <c r="H260" s="3"/>
      <c r="I260" s="3"/>
    </row>
    <row r="261" spans="1:9" s="5" customFormat="1" ht="21">
      <c r="A261" s="211"/>
      <c r="B261" s="213"/>
      <c r="C261" s="212"/>
      <c r="D261" s="2"/>
      <c r="E261" s="2"/>
      <c r="F261" s="2"/>
      <c r="G261" s="10"/>
      <c r="H261" s="3"/>
      <c r="I261" s="3"/>
    </row>
    <row r="262" spans="1:9" s="5" customFormat="1" ht="21">
      <c r="A262" s="211"/>
      <c r="B262" s="213"/>
      <c r="C262" s="212"/>
      <c r="D262" s="2"/>
      <c r="E262" s="2"/>
      <c r="F262" s="2"/>
      <c r="G262" s="10"/>
      <c r="H262" s="3"/>
      <c r="I262" s="3"/>
    </row>
    <row r="263" spans="1:9" s="5" customFormat="1" ht="21">
      <c r="A263" s="211"/>
      <c r="B263" s="213"/>
      <c r="C263" s="212"/>
      <c r="D263" s="2"/>
      <c r="E263" s="2"/>
      <c r="F263" s="2"/>
      <c r="G263" s="10"/>
      <c r="H263" s="3"/>
      <c r="I263" s="3"/>
    </row>
    <row r="264" spans="1:9" s="5" customFormat="1" ht="21">
      <c r="A264" s="211"/>
      <c r="B264" s="213"/>
      <c r="C264" s="212"/>
      <c r="D264" s="2"/>
      <c r="E264" s="2"/>
      <c r="F264" s="2"/>
      <c r="G264" s="10"/>
      <c r="H264" s="3"/>
      <c r="I264" s="3"/>
    </row>
    <row r="265" spans="1:9" s="5" customFormat="1" ht="21">
      <c r="A265" s="211"/>
      <c r="B265" s="213"/>
      <c r="C265" s="212"/>
      <c r="D265" s="2"/>
      <c r="E265" s="2"/>
      <c r="F265" s="2"/>
      <c r="G265" s="10"/>
      <c r="H265" s="3"/>
      <c r="I265" s="3"/>
    </row>
    <row r="266" spans="1:9" s="5" customFormat="1" ht="21">
      <c r="A266" s="211"/>
      <c r="B266" s="213"/>
      <c r="C266" s="212"/>
      <c r="D266" s="2"/>
      <c r="E266" s="2"/>
      <c r="F266" s="2"/>
      <c r="G266" s="10"/>
      <c r="H266" s="3"/>
      <c r="I266" s="3"/>
    </row>
    <row r="267" spans="1:9" s="5" customFormat="1" ht="21">
      <c r="A267" s="211"/>
      <c r="B267" s="213"/>
      <c r="C267" s="212"/>
      <c r="D267" s="2"/>
      <c r="E267" s="2"/>
      <c r="F267" s="2"/>
      <c r="G267" s="10"/>
      <c r="H267" s="3"/>
      <c r="I267" s="3"/>
    </row>
    <row r="268" spans="1:9" s="5" customFormat="1" ht="21">
      <c r="A268" s="211"/>
      <c r="B268" s="213"/>
      <c r="C268" s="212"/>
      <c r="D268" s="2"/>
      <c r="E268" s="2"/>
      <c r="F268" s="2"/>
      <c r="G268" s="10"/>
      <c r="H268" s="3"/>
      <c r="I268" s="3"/>
    </row>
    <row r="269" spans="1:9" s="5" customFormat="1" ht="21">
      <c r="A269" s="211"/>
      <c r="B269" s="213"/>
      <c r="C269" s="212"/>
      <c r="D269" s="2"/>
      <c r="E269" s="2"/>
      <c r="F269" s="2"/>
      <c r="G269" s="10"/>
      <c r="H269" s="3"/>
      <c r="I269" s="3"/>
    </row>
    <row r="270" spans="1:9" s="5" customFormat="1" ht="21">
      <c r="A270" s="211"/>
      <c r="B270" s="213"/>
      <c r="C270" s="212"/>
      <c r="D270" s="2"/>
      <c r="E270" s="2"/>
      <c r="F270" s="2"/>
      <c r="G270" s="10"/>
      <c r="H270" s="3"/>
      <c r="I270" s="3"/>
    </row>
    <row r="271" spans="1:9" s="5" customFormat="1" ht="21">
      <c r="A271" s="211"/>
      <c r="B271" s="213"/>
      <c r="C271" s="212"/>
      <c r="D271" s="2"/>
      <c r="E271" s="2"/>
      <c r="F271" s="2"/>
      <c r="G271" s="10"/>
      <c r="H271" s="3"/>
      <c r="I271" s="3"/>
    </row>
    <row r="272" spans="1:9" s="5" customFormat="1" ht="21">
      <c r="A272" s="211"/>
      <c r="B272" s="213"/>
      <c r="C272" s="212"/>
      <c r="D272" s="2"/>
      <c r="E272" s="2"/>
      <c r="F272" s="2"/>
      <c r="G272" s="10"/>
      <c r="H272" s="3"/>
      <c r="I272" s="3"/>
    </row>
    <row r="273" spans="1:9" s="14" customFormat="1" ht="20.25">
      <c r="A273" s="214"/>
      <c r="B273" s="11"/>
      <c r="C273" s="215" t="str">
        <f>+A2</f>
        <v>Ревизионной комиссии по городу Астана</v>
      </c>
      <c r="D273" s="216"/>
      <c r="E273" s="216"/>
      <c r="F273" s="216"/>
      <c r="G273" s="217"/>
      <c r="H273" s="12"/>
      <c r="I273" s="12"/>
    </row>
    <row r="274" spans="1:9" s="14" customFormat="1" ht="20.25">
      <c r="A274" s="218"/>
      <c r="B274" s="11"/>
      <c r="C274" s="215"/>
      <c r="D274" s="216"/>
      <c r="E274" s="216"/>
      <c r="F274" s="216"/>
      <c r="G274" s="217"/>
      <c r="H274" s="12"/>
      <c r="I274" s="12"/>
    </row>
    <row r="275" spans="1:9" s="14" customFormat="1" ht="20.25">
      <c r="A275" s="218"/>
      <c r="B275" s="11"/>
      <c r="C275" s="219"/>
      <c r="D275" s="216"/>
      <c r="E275" s="216"/>
      <c r="F275" s="216"/>
      <c r="G275" s="217"/>
      <c r="H275" s="12"/>
      <c r="I275" s="12"/>
    </row>
    <row r="276" spans="1:9" s="14" customFormat="1" ht="20.25">
      <c r="A276" s="218"/>
      <c r="B276" s="11"/>
      <c r="C276" s="219"/>
      <c r="D276" s="216"/>
      <c r="E276" s="216"/>
      <c r="F276" s="220"/>
      <c r="G276" s="217"/>
      <c r="H276" s="15" t="s">
        <v>312</v>
      </c>
      <c r="I276" s="15" t="s">
        <v>313</v>
      </c>
    </row>
    <row r="277" spans="1:9" s="14" customFormat="1" ht="20.25">
      <c r="A277" s="13"/>
      <c r="B277" s="202"/>
      <c r="C277" s="219"/>
      <c r="D277" s="220"/>
      <c r="E277" s="220"/>
      <c r="F277" s="221" t="s">
        <v>314</v>
      </c>
      <c r="G277" s="222"/>
      <c r="H277" s="15" t="s">
        <v>315</v>
      </c>
      <c r="I277" s="15" t="s">
        <v>316</v>
      </c>
    </row>
    <row r="278" spans="1:9" s="14" customFormat="1" ht="20.25">
      <c r="A278" s="13"/>
      <c r="B278" s="202"/>
      <c r="C278" s="219"/>
      <c r="D278" s="220"/>
      <c r="E278" s="220"/>
      <c r="F278" s="221" t="s">
        <v>317</v>
      </c>
      <c r="G278" s="222"/>
      <c r="H278" s="15" t="s">
        <v>318</v>
      </c>
      <c r="I278" s="15" t="s">
        <v>319</v>
      </c>
    </row>
    <row r="279" spans="1:9" s="14" customFormat="1" ht="20.25">
      <c r="A279" s="13"/>
      <c r="B279" s="202"/>
      <c r="C279" s="219"/>
      <c r="D279" s="220"/>
      <c r="E279" s="220"/>
      <c r="F279" s="221" t="s">
        <v>320</v>
      </c>
      <c r="G279" s="222"/>
      <c r="H279" s="15" t="s">
        <v>321</v>
      </c>
      <c r="I279" s="15" t="s">
        <v>322</v>
      </c>
    </row>
    <row r="280" spans="1:9" s="14" customFormat="1" ht="20.25">
      <c r="A280" s="13"/>
      <c r="B280" s="202"/>
      <c r="C280" s="219"/>
      <c r="D280" s="220"/>
      <c r="E280" s="220"/>
      <c r="F280" s="221" t="s">
        <v>323</v>
      </c>
      <c r="G280" s="222"/>
      <c r="H280" s="15" t="s">
        <v>324</v>
      </c>
      <c r="I280" s="15" t="s">
        <v>325</v>
      </c>
    </row>
    <row r="281" spans="1:9" s="14" customFormat="1" ht="20.25">
      <c r="A281" s="13"/>
      <c r="B281" s="202"/>
      <c r="C281" s="219"/>
      <c r="D281" s="220"/>
      <c r="E281" s="220"/>
      <c r="F281" s="221" t="s">
        <v>326</v>
      </c>
      <c r="G281" s="222"/>
      <c r="H281" s="15" t="s">
        <v>327</v>
      </c>
      <c r="I281" s="15" t="s">
        <v>328</v>
      </c>
    </row>
    <row r="282" spans="1:9" ht="20.25">
      <c r="A282" s="13"/>
      <c r="B282" s="202"/>
      <c r="C282" s="219"/>
      <c r="D282" s="220"/>
      <c r="E282" s="220"/>
      <c r="F282" s="221" t="s">
        <v>329</v>
      </c>
      <c r="G282" s="222"/>
      <c r="H282" s="15" t="s">
        <v>330</v>
      </c>
      <c r="I282" s="15" t="s">
        <v>331</v>
      </c>
    </row>
    <row r="283" spans="1:9" ht="20.25">
      <c r="A283" s="13"/>
      <c r="B283" s="202"/>
      <c r="C283" s="219"/>
      <c r="D283" s="220"/>
      <c r="E283" s="220"/>
      <c r="F283" s="221" t="s">
        <v>332</v>
      </c>
      <c r="G283" s="222"/>
      <c r="H283" s="15" t="s">
        <v>333</v>
      </c>
      <c r="I283" s="15" t="s">
        <v>334</v>
      </c>
    </row>
    <row r="284" spans="1:9" ht="20.25">
      <c r="A284" s="13"/>
      <c r="C284" s="219"/>
      <c r="D284" s="216"/>
      <c r="E284" s="216"/>
      <c r="F284" s="221" t="s">
        <v>335</v>
      </c>
      <c r="G284" s="222"/>
      <c r="H284" s="15" t="s">
        <v>336</v>
      </c>
      <c r="I284" s="15" t="s">
        <v>337</v>
      </c>
    </row>
    <row r="285" spans="1:9" ht="20.25">
      <c r="A285" s="13"/>
      <c r="C285" s="219"/>
      <c r="D285" s="216"/>
      <c r="E285" s="216"/>
      <c r="F285" s="221" t="s">
        <v>338</v>
      </c>
      <c r="G285" s="222"/>
      <c r="H285" s="15" t="s">
        <v>339</v>
      </c>
      <c r="I285" s="15" t="s">
        <v>340</v>
      </c>
    </row>
    <row r="286" spans="1:9" ht="20.25">
      <c r="A286" s="13"/>
      <c r="C286" s="219"/>
      <c r="D286" s="216"/>
      <c r="E286" s="216"/>
      <c r="F286" s="221" t="s">
        <v>341</v>
      </c>
      <c r="G286" s="222"/>
      <c r="H286" s="15" t="s">
        <v>342</v>
      </c>
      <c r="I286" s="15" t="s">
        <v>343</v>
      </c>
    </row>
    <row r="287" spans="1:9" ht="20.25">
      <c r="A287" s="13"/>
      <c r="B287" s="202"/>
      <c r="C287" s="219"/>
      <c r="D287" s="220"/>
      <c r="E287" s="220"/>
      <c r="F287" s="221" t="s">
        <v>344</v>
      </c>
      <c r="G287" s="222"/>
      <c r="H287" s="15" t="s">
        <v>345</v>
      </c>
      <c r="I287" s="15" t="s">
        <v>346</v>
      </c>
    </row>
    <row r="288" spans="1:9" ht="20.25">
      <c r="A288" s="13"/>
      <c r="B288" s="202"/>
      <c r="C288" s="219"/>
      <c r="D288" s="220"/>
      <c r="E288" s="220"/>
      <c r="F288" s="221" t="s">
        <v>347</v>
      </c>
      <c r="G288" s="222"/>
      <c r="H288" s="15" t="s">
        <v>348</v>
      </c>
      <c r="I288" s="15" t="s">
        <v>349</v>
      </c>
    </row>
    <row r="289" spans="1:9" ht="20.25">
      <c r="A289" s="13"/>
      <c r="B289" s="202"/>
      <c r="C289" s="219"/>
      <c r="D289" s="220"/>
      <c r="E289" s="220"/>
      <c r="F289" s="221" t="s">
        <v>350</v>
      </c>
      <c r="G289" s="222"/>
      <c r="H289" s="15" t="s">
        <v>351</v>
      </c>
      <c r="I289" s="15" t="s">
        <v>352</v>
      </c>
    </row>
    <row r="290" spans="1:9" ht="20.25">
      <c r="A290" s="13"/>
      <c r="B290" s="202"/>
      <c r="C290" s="219"/>
      <c r="D290" s="220"/>
      <c r="E290" s="220"/>
      <c r="F290" s="221" t="s">
        <v>353</v>
      </c>
      <c r="G290" s="222"/>
      <c r="H290" s="15" t="s">
        <v>354</v>
      </c>
      <c r="I290" s="15" t="s">
        <v>355</v>
      </c>
    </row>
    <row r="291" spans="1:9" ht="20.25">
      <c r="A291" s="13"/>
      <c r="B291" s="202"/>
      <c r="C291" s="219"/>
      <c r="D291" s="220"/>
      <c r="E291" s="220"/>
      <c r="F291" s="221" t="s">
        <v>356</v>
      </c>
      <c r="G291" s="222"/>
      <c r="H291" s="15" t="s">
        <v>357</v>
      </c>
      <c r="I291" s="15" t="s">
        <v>358</v>
      </c>
    </row>
    <row r="292" spans="1:9" ht="20.25">
      <c r="A292" s="13"/>
      <c r="B292" s="202"/>
      <c r="C292" s="219"/>
      <c r="D292" s="220"/>
      <c r="E292" s="220"/>
      <c r="F292" s="221" t="s">
        <v>359</v>
      </c>
      <c r="G292" s="222"/>
      <c r="H292" s="15" t="s">
        <v>360</v>
      </c>
      <c r="I292" s="15" t="s">
        <v>293</v>
      </c>
    </row>
    <row r="293" spans="1:9" ht="20.25">
      <c r="A293" s="13"/>
      <c r="C293" s="219"/>
      <c r="D293" s="216"/>
      <c r="E293" s="216"/>
      <c r="F293" s="221" t="s">
        <v>361</v>
      </c>
      <c r="G293" s="217"/>
      <c r="H293" s="15" t="s">
        <v>362</v>
      </c>
      <c r="I293" s="15" t="s">
        <v>363</v>
      </c>
    </row>
    <row r="294" spans="1:9" ht="20.25">
      <c r="A294" s="13"/>
      <c r="C294" s="219"/>
      <c r="D294" s="216"/>
      <c r="E294" s="216"/>
      <c r="F294" s="221" t="s">
        <v>364</v>
      </c>
      <c r="G294" s="217"/>
      <c r="H294" s="12"/>
      <c r="I294" s="12"/>
    </row>
    <row r="295" spans="1:9" ht="20.25">
      <c r="A295" s="13"/>
      <c r="C295" s="219"/>
      <c r="D295" s="216"/>
      <c r="E295" s="216"/>
      <c r="F295" s="221" t="s">
        <v>365</v>
      </c>
      <c r="G295" s="217"/>
      <c r="H295" s="12"/>
      <c r="I295" s="12"/>
    </row>
    <row r="296" spans="1:9" ht="20.25">
      <c r="A296" s="13"/>
      <c r="C296" s="219"/>
      <c r="D296" s="216"/>
      <c r="E296" s="216"/>
      <c r="F296" s="221" t="s">
        <v>366</v>
      </c>
      <c r="G296" s="217"/>
      <c r="H296" s="12"/>
      <c r="I296" s="12"/>
    </row>
    <row r="297" spans="1:9" ht="20.25">
      <c r="A297" s="13"/>
      <c r="C297" s="219"/>
      <c r="D297" s="216"/>
      <c r="E297" s="216"/>
      <c r="F297" s="221" t="s">
        <v>367</v>
      </c>
      <c r="G297" s="217"/>
      <c r="H297" s="12"/>
      <c r="I297" s="12"/>
    </row>
    <row r="298" spans="1:9" ht="20.25">
      <c r="A298" s="13"/>
      <c r="C298" s="219"/>
      <c r="D298" s="216"/>
      <c r="E298" s="216"/>
      <c r="F298" s="221" t="s">
        <v>368</v>
      </c>
      <c r="G298" s="217"/>
      <c r="H298" s="12"/>
      <c r="I298" s="12"/>
    </row>
    <row r="299" spans="1:9" ht="20.25">
      <c r="A299" s="13"/>
      <c r="C299" s="219"/>
      <c r="D299" s="216"/>
      <c r="E299" s="216"/>
      <c r="F299" s="221" t="s">
        <v>369</v>
      </c>
      <c r="G299" s="217"/>
      <c r="H299" s="12"/>
      <c r="I299" s="12"/>
    </row>
    <row r="300" spans="1:9" ht="20.25">
      <c r="A300" s="13"/>
      <c r="C300" s="219"/>
      <c r="D300" s="216"/>
      <c r="E300" s="216"/>
      <c r="F300" s="221" t="s">
        <v>370</v>
      </c>
      <c r="G300" s="217"/>
      <c r="H300" s="12"/>
      <c r="I300" s="12"/>
    </row>
    <row r="301" spans="1:9" ht="20.25">
      <c r="A301" s="13"/>
      <c r="C301" s="219"/>
      <c r="D301" s="216"/>
      <c r="E301" s="216"/>
      <c r="F301" s="221" t="s">
        <v>371</v>
      </c>
      <c r="G301" s="217"/>
      <c r="H301" s="12"/>
      <c r="I301" s="12"/>
    </row>
    <row r="302" spans="1:9" ht="20.25">
      <c r="A302" s="13"/>
      <c r="C302" s="219"/>
      <c r="D302" s="216"/>
      <c r="E302" s="216"/>
      <c r="F302" s="221" t="s">
        <v>372</v>
      </c>
      <c r="G302" s="217"/>
      <c r="H302" s="12"/>
      <c r="I302" s="12"/>
    </row>
    <row r="303" spans="1:9" ht="20.25">
      <c r="A303" s="13"/>
      <c r="C303" s="219"/>
      <c r="D303" s="216"/>
      <c r="E303" s="216"/>
      <c r="F303" s="220"/>
      <c r="G303" s="217"/>
      <c r="H303" s="12"/>
      <c r="I303" s="12"/>
    </row>
    <row r="304" spans="1:9" ht="20.25">
      <c r="A304" s="13"/>
      <c r="C304" s="219"/>
      <c r="D304" s="216"/>
      <c r="E304" s="216"/>
      <c r="F304" s="221" t="s">
        <v>373</v>
      </c>
      <c r="G304" s="217"/>
      <c r="H304" s="12"/>
      <c r="I304" s="12"/>
    </row>
    <row r="305" spans="1:9" ht="20.25">
      <c r="A305" s="13"/>
      <c r="C305" s="219"/>
      <c r="D305" s="216"/>
      <c r="E305" s="216"/>
      <c r="F305" s="221" t="s">
        <v>374</v>
      </c>
      <c r="G305" s="217"/>
      <c r="H305" s="12"/>
      <c r="I305" s="12"/>
    </row>
    <row r="306" spans="1:9" ht="20.25">
      <c r="A306" s="13"/>
      <c r="C306" s="219"/>
      <c r="D306" s="216"/>
      <c r="E306" s="216"/>
      <c r="F306" s="221" t="s">
        <v>375</v>
      </c>
      <c r="G306" s="217"/>
      <c r="H306" s="12"/>
      <c r="I306" s="12"/>
    </row>
    <row r="307" spans="1:9" ht="20.25">
      <c r="A307" s="13"/>
      <c r="C307" s="219"/>
      <c r="D307" s="216"/>
      <c r="E307" s="216"/>
      <c r="F307" s="221" t="s">
        <v>376</v>
      </c>
      <c r="G307" s="217"/>
      <c r="H307" s="12"/>
      <c r="I307" s="12"/>
    </row>
    <row r="308" spans="1:9" ht="20.25">
      <c r="A308" s="13"/>
      <c r="C308" s="219"/>
      <c r="D308" s="216"/>
      <c r="E308" s="216"/>
      <c r="F308" s="221" t="s">
        <v>377</v>
      </c>
      <c r="G308" s="217"/>
      <c r="H308" s="12"/>
      <c r="I308" s="12"/>
    </row>
    <row r="309" spans="1:9" ht="20.25">
      <c r="A309" s="13"/>
      <c r="C309" s="219"/>
      <c r="D309" s="216"/>
      <c r="E309" s="216"/>
      <c r="F309" s="221" t="s">
        <v>378</v>
      </c>
      <c r="G309" s="217"/>
      <c r="H309" s="12"/>
      <c r="I309" s="12"/>
    </row>
    <row r="310" spans="1:9" ht="20.25">
      <c r="A310" s="13"/>
      <c r="C310" s="219"/>
      <c r="D310" s="216"/>
      <c r="E310" s="216"/>
      <c r="F310" s="221" t="s">
        <v>379</v>
      </c>
      <c r="G310" s="217"/>
      <c r="H310" s="12"/>
      <c r="I310" s="12"/>
    </row>
    <row r="311" spans="1:9" ht="20.25">
      <c r="A311" s="13"/>
      <c r="C311" s="219"/>
      <c r="D311" s="216"/>
      <c r="E311" s="216"/>
      <c r="F311" s="221" t="s">
        <v>380</v>
      </c>
      <c r="G311" s="217"/>
      <c r="H311" s="12"/>
      <c r="I311" s="12"/>
    </row>
    <row r="312" spans="1:9" ht="20.25">
      <c r="A312" s="13"/>
      <c r="C312" s="219"/>
      <c r="D312" s="216"/>
      <c r="E312" s="216"/>
      <c r="F312" s="221" t="s">
        <v>381</v>
      </c>
      <c r="G312" s="217"/>
      <c r="H312" s="12"/>
      <c r="I312" s="12"/>
    </row>
    <row r="313" spans="1:9" ht="20.25">
      <c r="A313" s="13"/>
      <c r="C313" s="219"/>
      <c r="D313" s="216"/>
      <c r="E313" s="216"/>
      <c r="F313" s="221" t="s">
        <v>382</v>
      </c>
      <c r="G313" s="217"/>
      <c r="H313" s="12"/>
      <c r="I313" s="12"/>
    </row>
    <row r="314" spans="1:9" ht="20.25">
      <c r="A314" s="13"/>
      <c r="C314" s="219"/>
      <c r="D314" s="216"/>
      <c r="E314" s="216"/>
      <c r="F314" s="221" t="s">
        <v>383</v>
      </c>
      <c r="G314" s="217"/>
      <c r="H314" s="12"/>
      <c r="I314" s="12"/>
    </row>
    <row r="315" spans="1:9" ht="20.25">
      <c r="A315" s="13"/>
      <c r="C315" s="219"/>
      <c r="D315" s="216"/>
      <c r="E315" s="216"/>
      <c r="F315" s="221" t="s">
        <v>384</v>
      </c>
      <c r="G315" s="217"/>
      <c r="H315" s="12"/>
      <c r="I315" s="12"/>
    </row>
    <row r="316" spans="1:9" ht="20.25">
      <c r="A316" s="13"/>
      <c r="C316" s="219"/>
      <c r="D316" s="216"/>
      <c r="E316" s="216"/>
      <c r="F316" s="221" t="s">
        <v>385</v>
      </c>
      <c r="G316" s="217"/>
      <c r="H316" s="12"/>
      <c r="I316" s="12"/>
    </row>
    <row r="317" spans="1:9" ht="20.25">
      <c r="A317" s="13"/>
      <c r="C317" s="219"/>
      <c r="D317" s="216"/>
      <c r="E317" s="216"/>
      <c r="F317" s="221" t="s">
        <v>386</v>
      </c>
      <c r="G317" s="217"/>
      <c r="H317" s="12"/>
      <c r="I317" s="12"/>
    </row>
    <row r="318" spans="1:9" ht="20.25">
      <c r="A318" s="13"/>
      <c r="C318" s="219"/>
      <c r="D318" s="216"/>
      <c r="E318" s="216"/>
      <c r="F318" s="221" t="s">
        <v>387</v>
      </c>
      <c r="G318" s="217"/>
      <c r="H318" s="12"/>
      <c r="I318" s="12"/>
    </row>
    <row r="319" spans="1:9" ht="20.25">
      <c r="A319" s="13"/>
      <c r="C319" s="219"/>
      <c r="D319" s="216"/>
      <c r="E319" s="216"/>
      <c r="F319" s="221" t="s">
        <v>388</v>
      </c>
      <c r="G319" s="217"/>
      <c r="H319" s="12"/>
      <c r="I319" s="12"/>
    </row>
    <row r="320" spans="1:9" ht="20.25">
      <c r="A320" s="13"/>
      <c r="C320" s="219"/>
      <c r="D320" s="216"/>
      <c r="E320" s="216"/>
      <c r="F320" s="221" t="s">
        <v>389</v>
      </c>
      <c r="G320" s="217"/>
      <c r="H320" s="12"/>
      <c r="I320" s="12"/>
    </row>
    <row r="321" spans="1:9" ht="20.25">
      <c r="A321" s="13"/>
      <c r="C321" s="219"/>
      <c r="D321" s="216"/>
      <c r="E321" s="216"/>
      <c r="F321" s="221" t="s">
        <v>390</v>
      </c>
      <c r="G321" s="217"/>
      <c r="H321" s="12"/>
      <c r="I321" s="12"/>
    </row>
    <row r="322" spans="1:9" ht="20.25">
      <c r="A322" s="13"/>
      <c r="C322" s="219"/>
      <c r="D322" s="216"/>
      <c r="E322" s="216"/>
      <c r="F322" s="221" t="s">
        <v>391</v>
      </c>
      <c r="G322" s="217"/>
      <c r="H322" s="12"/>
      <c r="I322" s="12"/>
    </row>
    <row r="323" spans="1:9" ht="20.25">
      <c r="A323" s="13"/>
      <c r="C323" s="219"/>
      <c r="D323" s="216"/>
      <c r="E323" s="216"/>
      <c r="F323" s="221" t="s">
        <v>392</v>
      </c>
      <c r="G323" s="217"/>
      <c r="H323" s="12"/>
      <c r="I323" s="12"/>
    </row>
    <row r="324" spans="1:9" ht="20.25">
      <c r="A324" s="13"/>
      <c r="C324" s="219"/>
      <c r="D324" s="216"/>
      <c r="E324" s="216"/>
      <c r="F324" s="221" t="s">
        <v>393</v>
      </c>
      <c r="G324" s="217"/>
      <c r="H324" s="12"/>
      <c r="I324" s="12"/>
    </row>
    <row r="325" spans="1:9" ht="20.25">
      <c r="A325" s="13"/>
      <c r="C325" s="219"/>
      <c r="D325" s="216"/>
      <c r="E325" s="216"/>
      <c r="F325" s="221" t="s">
        <v>394</v>
      </c>
      <c r="G325" s="217"/>
      <c r="H325" s="12"/>
      <c r="I325" s="12"/>
    </row>
    <row r="326" spans="1:9" ht="20.25">
      <c r="A326" s="13"/>
      <c r="C326" s="219"/>
      <c r="D326" s="216"/>
      <c r="E326" s="216"/>
      <c r="F326" s="221" t="s">
        <v>395</v>
      </c>
      <c r="G326" s="217"/>
      <c r="H326" s="12"/>
      <c r="I326" s="12"/>
    </row>
    <row r="327" spans="1:9" ht="20.25">
      <c r="A327" s="13"/>
      <c r="C327" s="219"/>
      <c r="D327" s="216"/>
      <c r="E327" s="216"/>
      <c r="F327" s="221" t="s">
        <v>396</v>
      </c>
      <c r="G327" s="217"/>
      <c r="H327" s="12"/>
      <c r="I327" s="12"/>
    </row>
    <row r="328" spans="1:9" ht="20.25">
      <c r="A328" s="13"/>
      <c r="C328" s="219"/>
      <c r="D328" s="216"/>
      <c r="E328" s="216"/>
      <c r="F328" s="221" t="s">
        <v>397</v>
      </c>
      <c r="G328" s="217"/>
      <c r="H328" s="12"/>
      <c r="I328" s="12"/>
    </row>
    <row r="329" spans="1:9" ht="20.25">
      <c r="A329" s="13"/>
      <c r="C329" s="219"/>
      <c r="D329" s="216"/>
      <c r="E329" s="216"/>
      <c r="F329" s="221" t="s">
        <v>398</v>
      </c>
      <c r="G329" s="217"/>
      <c r="H329" s="12"/>
      <c r="I329" s="12"/>
    </row>
    <row r="330" spans="1:9" ht="20.25">
      <c r="A330" s="13"/>
      <c r="C330" s="219"/>
      <c r="D330" s="216"/>
      <c r="E330" s="216"/>
      <c r="F330" s="221" t="s">
        <v>399</v>
      </c>
      <c r="G330" s="217"/>
      <c r="H330" s="12"/>
      <c r="I330" s="12"/>
    </row>
    <row r="331" spans="1:9" ht="20.25">
      <c r="A331" s="13"/>
      <c r="C331" s="219"/>
      <c r="D331" s="216"/>
      <c r="E331" s="216"/>
      <c r="F331" s="221" t="s">
        <v>400</v>
      </c>
      <c r="G331" s="217"/>
      <c r="H331" s="12"/>
      <c r="I331" s="12"/>
    </row>
    <row r="332" spans="1:9" ht="20.25">
      <c r="A332" s="13"/>
      <c r="C332" s="219"/>
      <c r="D332" s="216"/>
      <c r="E332" s="216"/>
      <c r="F332" s="221" t="s">
        <v>401</v>
      </c>
      <c r="G332" s="217"/>
      <c r="H332" s="12"/>
      <c r="I332" s="12"/>
    </row>
    <row r="333" spans="1:9" ht="20.25">
      <c r="A333" s="13"/>
      <c r="C333" s="219"/>
      <c r="D333" s="216"/>
      <c r="E333" s="216"/>
      <c r="F333" s="221" t="s">
        <v>402</v>
      </c>
      <c r="G333" s="217"/>
      <c r="H333" s="12"/>
      <c r="I333" s="12"/>
    </row>
    <row r="334" spans="1:9" ht="20.25">
      <c r="A334" s="13"/>
      <c r="C334" s="219"/>
      <c r="D334" s="216"/>
      <c r="E334" s="216"/>
      <c r="F334" s="221" t="s">
        <v>403</v>
      </c>
      <c r="G334" s="217"/>
      <c r="H334" s="12"/>
      <c r="I334" s="12"/>
    </row>
    <row r="335" spans="1:9" ht="20.25">
      <c r="A335" s="13"/>
      <c r="C335" s="219"/>
      <c r="D335" s="216"/>
      <c r="E335" s="216"/>
      <c r="F335" s="221" t="s">
        <v>404</v>
      </c>
      <c r="G335" s="217"/>
      <c r="H335" s="12"/>
      <c r="I335" s="12"/>
    </row>
    <row r="336" spans="1:9" ht="20.25">
      <c r="A336" s="13"/>
      <c r="C336" s="219"/>
      <c r="D336" s="216"/>
      <c r="E336" s="216"/>
      <c r="F336" s="221" t="s">
        <v>405</v>
      </c>
      <c r="G336" s="217"/>
      <c r="H336" s="12"/>
      <c r="I336" s="12"/>
    </row>
    <row r="337" spans="1:9" ht="20.25">
      <c r="A337" s="13"/>
      <c r="C337" s="219"/>
      <c r="D337" s="216"/>
      <c r="E337" s="216"/>
      <c r="F337" s="221" t="s">
        <v>406</v>
      </c>
      <c r="G337" s="217"/>
      <c r="H337" s="12"/>
      <c r="I337" s="12"/>
    </row>
    <row r="338" spans="1:9" ht="20.25">
      <c r="A338" s="13"/>
      <c r="C338" s="219"/>
      <c r="D338" s="216"/>
      <c r="E338" s="216"/>
      <c r="F338" s="221" t="s">
        <v>407</v>
      </c>
      <c r="G338" s="217"/>
      <c r="H338" s="12"/>
      <c r="I338" s="12"/>
    </row>
    <row r="339" spans="1:9" ht="20.25">
      <c r="A339" s="218"/>
      <c r="C339" s="219"/>
      <c r="D339" s="216"/>
      <c r="E339" s="216"/>
      <c r="F339" s="221" t="s">
        <v>408</v>
      </c>
      <c r="G339" s="217"/>
      <c r="H339" s="12"/>
      <c r="I339" s="12"/>
    </row>
    <row r="340" spans="1:9" ht="20.25">
      <c r="A340" s="218"/>
      <c r="C340" s="219"/>
      <c r="D340" s="216"/>
      <c r="E340" s="216"/>
      <c r="F340" s="221" t="s">
        <v>409</v>
      </c>
      <c r="G340" s="217"/>
      <c r="H340" s="12"/>
      <c r="I340" s="12"/>
    </row>
    <row r="341" spans="1:9" ht="20.25">
      <c r="A341" s="218"/>
      <c r="C341" s="219"/>
      <c r="D341" s="216"/>
      <c r="E341" s="216"/>
      <c r="F341" s="221" t="s">
        <v>410</v>
      </c>
      <c r="G341" s="217"/>
      <c r="H341" s="12"/>
      <c r="I341" s="12"/>
    </row>
    <row r="342" spans="1:9" ht="20.25">
      <c r="A342" s="214"/>
      <c r="C342" s="219"/>
      <c r="D342" s="216"/>
      <c r="E342" s="216"/>
      <c r="F342" s="221" t="s">
        <v>411</v>
      </c>
      <c r="G342" s="217"/>
      <c r="H342" s="12"/>
      <c r="I342" s="12"/>
    </row>
    <row r="343" spans="1:9" ht="20.25">
      <c r="A343" s="214"/>
      <c r="C343" s="219"/>
      <c r="D343" s="216"/>
      <c r="E343" s="216"/>
      <c r="F343" s="221" t="s">
        <v>412</v>
      </c>
      <c r="G343" s="217"/>
      <c r="H343" s="12"/>
      <c r="I343" s="12"/>
    </row>
    <row r="344" spans="1:9" ht="20.25">
      <c r="A344" s="214"/>
      <c r="C344" s="219"/>
      <c r="D344" s="216"/>
      <c r="E344" s="216"/>
      <c r="F344" s="221" t="s">
        <v>413</v>
      </c>
      <c r="G344" s="217"/>
      <c r="H344" s="12"/>
      <c r="I344" s="12"/>
    </row>
    <row r="345" spans="1:9" ht="20.25">
      <c r="A345" s="214"/>
      <c r="C345" s="219"/>
      <c r="D345" s="216"/>
      <c r="E345" s="216"/>
      <c r="F345" s="221" t="s">
        <v>414</v>
      </c>
      <c r="G345" s="217"/>
      <c r="H345" s="12"/>
      <c r="I345" s="12"/>
    </row>
    <row r="346" spans="1:9" ht="20.25">
      <c r="A346" s="214"/>
      <c r="C346" s="219"/>
      <c r="D346" s="216"/>
      <c r="E346" s="216"/>
      <c r="F346" s="221" t="s">
        <v>415</v>
      </c>
      <c r="G346" s="217"/>
      <c r="H346" s="12"/>
      <c r="I346" s="12"/>
    </row>
    <row r="347" spans="1:9" ht="20.25">
      <c r="A347" s="214"/>
      <c r="C347" s="219"/>
      <c r="D347" s="216"/>
      <c r="E347" s="216"/>
      <c r="F347" s="221" t="s">
        <v>416</v>
      </c>
      <c r="G347" s="217"/>
      <c r="H347" s="12"/>
      <c r="I347" s="12"/>
    </row>
    <row r="348" spans="1:9" ht="20.25">
      <c r="A348" s="214"/>
      <c r="C348" s="219"/>
      <c r="D348" s="216"/>
      <c r="E348" s="216"/>
      <c r="F348" s="221" t="s">
        <v>417</v>
      </c>
      <c r="G348" s="217"/>
      <c r="H348" s="12"/>
      <c r="I348" s="12"/>
    </row>
    <row r="349" spans="1:9" ht="20.25">
      <c r="A349" s="214"/>
      <c r="C349" s="219"/>
      <c r="D349" s="216"/>
      <c r="E349" s="216"/>
      <c r="F349" s="221" t="s">
        <v>418</v>
      </c>
      <c r="G349" s="217"/>
      <c r="H349" s="12"/>
      <c r="I349" s="12"/>
    </row>
    <row r="350" spans="1:9" ht="20.25">
      <c r="A350" s="214"/>
      <c r="C350" s="219"/>
      <c r="D350" s="216"/>
      <c r="E350" s="216"/>
      <c r="F350" s="221" t="s">
        <v>419</v>
      </c>
      <c r="G350" s="217"/>
      <c r="H350" s="12"/>
      <c r="I350" s="12"/>
    </row>
    <row r="351" spans="1:9" ht="20.25">
      <c r="A351" s="214"/>
      <c r="C351" s="219"/>
      <c r="D351" s="216"/>
      <c r="E351" s="216"/>
      <c r="F351" s="221" t="s">
        <v>420</v>
      </c>
      <c r="G351" s="217"/>
      <c r="H351" s="12"/>
      <c r="I351" s="12"/>
    </row>
    <row r="352" spans="1:9" ht="20.25">
      <c r="A352" s="214"/>
      <c r="C352" s="219"/>
      <c r="D352" s="216"/>
      <c r="E352" s="216"/>
      <c r="F352" s="221" t="s">
        <v>421</v>
      </c>
      <c r="G352" s="217"/>
      <c r="H352" s="12"/>
      <c r="I352" s="12"/>
    </row>
    <row r="353" spans="1:9" ht="20.25">
      <c r="A353" s="214"/>
      <c r="C353" s="219"/>
      <c r="D353" s="216"/>
      <c r="E353" s="216"/>
      <c r="F353" s="221" t="s">
        <v>422</v>
      </c>
      <c r="G353" s="217"/>
      <c r="H353" s="12"/>
      <c r="I353" s="12"/>
    </row>
    <row r="354" spans="1:9" ht="20.25">
      <c r="A354" s="214"/>
      <c r="C354" s="219"/>
      <c r="D354" s="216"/>
      <c r="E354" s="216"/>
      <c r="F354" s="221" t="s">
        <v>423</v>
      </c>
      <c r="G354" s="217"/>
      <c r="H354" s="12"/>
      <c r="I354" s="12"/>
    </row>
    <row r="355" spans="1:9" ht="20.25">
      <c r="A355" s="214"/>
      <c r="C355" s="219"/>
      <c r="D355" s="216"/>
      <c r="E355" s="216"/>
      <c r="F355" s="221" t="s">
        <v>424</v>
      </c>
      <c r="G355" s="217"/>
      <c r="H355" s="12"/>
      <c r="I355" s="12"/>
    </row>
    <row r="356" spans="1:9" ht="20.25">
      <c r="A356" s="214"/>
      <c r="C356" s="219"/>
      <c r="D356" s="216"/>
      <c r="E356" s="216"/>
      <c r="F356" s="221" t="s">
        <v>425</v>
      </c>
      <c r="G356" s="217"/>
      <c r="H356" s="12"/>
      <c r="I356" s="12"/>
    </row>
    <row r="357" ht="20.25">
      <c r="F357" s="221" t="s">
        <v>426</v>
      </c>
    </row>
    <row r="358" ht="20.25">
      <c r="F358" s="221" t="s">
        <v>427</v>
      </c>
    </row>
    <row r="359" ht="20.25">
      <c r="F359" s="221" t="s">
        <v>428</v>
      </c>
    </row>
    <row r="360" ht="20.25">
      <c r="F360" s="221" t="s">
        <v>429</v>
      </c>
    </row>
    <row r="361" ht="20.25">
      <c r="F361" s="221" t="s">
        <v>430</v>
      </c>
    </row>
    <row r="362" ht="20.25">
      <c r="F362" s="221" t="s">
        <v>431</v>
      </c>
    </row>
    <row r="363" ht="20.25">
      <c r="F363" s="221" t="s">
        <v>432</v>
      </c>
    </row>
    <row r="364" ht="20.25">
      <c r="F364" s="221" t="s">
        <v>433</v>
      </c>
    </row>
    <row r="365" ht="20.25">
      <c r="F365" s="221" t="s">
        <v>434</v>
      </c>
    </row>
    <row r="366" ht="20.25">
      <c r="F366" s="221" t="s">
        <v>435</v>
      </c>
    </row>
    <row r="367" ht="20.25">
      <c r="F367" s="221" t="s">
        <v>436</v>
      </c>
    </row>
    <row r="368" ht="20.25">
      <c r="F368" s="221" t="s">
        <v>437</v>
      </c>
    </row>
    <row r="369" ht="20.25">
      <c r="F369" s="221" t="s">
        <v>438</v>
      </c>
    </row>
    <row r="370" ht="20.25">
      <c r="F370" s="221" t="s">
        <v>439</v>
      </c>
    </row>
    <row r="371" ht="20.25">
      <c r="F371" s="221" t="s">
        <v>440</v>
      </c>
    </row>
    <row r="372" ht="20.25">
      <c r="F372" s="221" t="s">
        <v>292</v>
      </c>
    </row>
    <row r="373" spans="5:6" ht="20.25">
      <c r="E373" s="221"/>
      <c r="F373" s="19" t="s">
        <v>441</v>
      </c>
    </row>
    <row r="374" ht="20.25">
      <c r="F374" s="19" t="s">
        <v>442</v>
      </c>
    </row>
    <row r="375" ht="20.25">
      <c r="F375" s="19" t="s">
        <v>292</v>
      </c>
    </row>
    <row r="376" ht="20.25">
      <c r="F376" s="19" t="s">
        <v>291</v>
      </c>
    </row>
    <row r="377" ht="20.25">
      <c r="F377" s="19" t="s">
        <v>443</v>
      </c>
    </row>
    <row r="378" ht="20.25">
      <c r="F378" s="19" t="s">
        <v>295</v>
      </c>
    </row>
  </sheetData>
  <sheetProtection/>
  <protectedRanges>
    <protectedRange sqref="A2:G3 D25:E26 D165:E165" name="Диапазон1_8"/>
    <protectedRange sqref="D10:D12" name="Диапазон1_3_1"/>
    <protectedRange sqref="D14:D16" name="Диапазон1_4_1"/>
    <protectedRange sqref="D19:D20" name="Диапазон1_5_1"/>
    <protectedRange sqref="D22:D23" name="Диапазон1_6_1"/>
    <protectedRange sqref="D28:D29" name="Диапазон1_9"/>
    <protectedRange sqref="D32:D33" name="Диапазон1_10"/>
    <protectedRange sqref="D35:D37" name="Диапазон1_11"/>
    <protectedRange sqref="D39:D41" name="Диапазон1_12"/>
    <protectedRange sqref="D43:D48" name="Диапазон1_13"/>
    <protectedRange sqref="D50:D62" name="Диапазон1_14"/>
    <protectedRange sqref="D64:D66" name="Диапазон1_15"/>
    <protectedRange sqref="D68:D73" name="Диапазон1_16"/>
    <protectedRange sqref="D80:D81" name="Диапазон1_17"/>
    <protectedRange sqref="D90:D93" name="Диапазон1_18"/>
    <protectedRange sqref="D97:D100" name="Диапазон1_19"/>
    <protectedRange sqref="D105:D106" name="Диапазон1_20"/>
    <protectedRange sqref="D108:D109" name="Диапазон1_21"/>
    <protectedRange sqref="D111:D113" name="Диапазон1_7_1"/>
    <protectedRange sqref="D122:D125" name="Диапазон1_22"/>
    <protectedRange sqref="D129:D132" name="Диапазон1_23"/>
    <protectedRange sqref="D136:D142" name="Диапазон1_8_1"/>
    <protectedRange sqref="D149:D152" name="Диапазон1_2_3"/>
    <protectedRange sqref="D158" name="Диапазон1_9_1"/>
    <protectedRange sqref="D154:D157" name="Диапазон1_17_3_1"/>
    <protectedRange sqref="D160 D162:D164" name="Диапазон1_24_1"/>
    <protectedRange sqref="D161" name="Диапазон1_18_25_1"/>
    <protectedRange sqref="D166:D167" name="Диапазон1_25"/>
    <protectedRange sqref="E10:E12" name="Диапазон1_7_2"/>
    <protectedRange sqref="E14:E16" name="Диапазон1_8_2"/>
    <protectedRange sqref="E19:E20" name="Диапазон1_26"/>
    <protectedRange sqref="E22:E23" name="Диапазон1_27"/>
    <protectedRange sqref="E28:E29" name="Диапазон1_28"/>
    <protectedRange sqref="E32:E33" name="Диапазон1_29"/>
    <protectedRange sqref="E35:E37" name="Диапазон1_30"/>
    <protectedRange sqref="E39:E41" name="Диапазон1_31"/>
    <protectedRange sqref="E43:E48" name="Диапазон1_32"/>
    <protectedRange sqref="E50:E62" name="Диапазон1_33"/>
    <protectedRange sqref="E64:E66" name="Диапазон1_34"/>
    <protectedRange sqref="E68:E73" name="Диапазон1_35"/>
    <protectedRange sqref="E80:E81" name="Диапазон1_36"/>
    <protectedRange sqref="E90:E93" name="Диапазон1_37"/>
    <protectedRange sqref="E97:E100" name="Диапазон1_38"/>
    <protectedRange sqref="E105:E106" name="Диапазон1_40"/>
    <protectedRange sqref="E108:E109" name="Диапазон1_41"/>
    <protectedRange sqref="E111 E113" name="Диапазон1_42"/>
    <protectedRange sqref="E122:E125" name="Диапазон1_43"/>
    <protectedRange sqref="E129:E132" name="Диапазон1_44"/>
    <protectedRange sqref="E136:E142" name="Диапазон1_45"/>
    <protectedRange sqref="E149:E151" name="Диапазон1_46"/>
    <protectedRange sqref="E160:E164" name="Диапазон1_47_1"/>
    <protectedRange sqref="E166:E167" name="Диапазон1_48"/>
  </protectedRanges>
  <mergeCells count="4">
    <mergeCell ref="H4:I4"/>
    <mergeCell ref="A3:G3"/>
    <mergeCell ref="A1:G1"/>
    <mergeCell ref="A2:G2"/>
  </mergeCells>
  <dataValidations count="2"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3:G3">
      <formula1>$F$277:$F$378</formula1>
    </dataValidation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2:G2">
      <formula1>$I$276:$I$293</formula1>
    </dataValidation>
  </dataValidation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Т.Н. Сейтжан</cp:lastModifiedBy>
  <cp:lastPrinted>2021-02-01T06:12:28Z</cp:lastPrinted>
  <dcterms:created xsi:type="dcterms:W3CDTF">2003-05-20T10:03:43Z</dcterms:created>
  <dcterms:modified xsi:type="dcterms:W3CDTF">2022-12-02T09:09:02Z</dcterms:modified>
  <cp:category/>
  <cp:version/>
  <cp:contentType/>
  <cp:contentStatus/>
</cp:coreProperties>
</file>